
<file path=[Content_Types].xml><?xml version="1.0" encoding="utf-8"?>
<Types xmlns="http://schemas.openxmlformats.org/package/2006/content-types">
  <Default Extension="xml" ContentType="application/xml"/>
  <Default Extension="jpeg" ContentType="image/jpeg"/>
  <Default Extension="bin" ContentType="application/vnd.openxmlformats-officedocument.spreadsheetml.printerSettings"/>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28109"/>
  <workbookPr filterPrivacy="1"/>
  <mc:AlternateContent xmlns:mc="http://schemas.openxmlformats.org/markup-compatibility/2006">
    <mc:Choice Requires="x15">
      <x15ac:absPath xmlns:x15ac="http://schemas.microsoft.com/office/spreadsheetml/2010/11/ac" url="/Users/kirilllycagin/Desktop/ПОЛИКЛИНКА/"/>
    </mc:Choice>
  </mc:AlternateContent>
  <bookViews>
    <workbookView xWindow="0" yWindow="460" windowWidth="25600" windowHeight="14240"/>
  </bookViews>
  <sheets>
    <sheet name="Лист1" sheetId="1" r:id="rId1"/>
    <sheet name="Лист2" sheetId="2" r:id="rId2"/>
    <sheet name="Лист3" sheetId="3" r:id="rId3"/>
  </sheets>
  <definedNames>
    <definedName name="_xlnm.Print_Area" localSheetId="0">Лист1!$A$1:$E$981</definedName>
  </definedNames>
  <calcPr calcId="150001" refMode="R1C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D796" i="1" l="1"/>
  <c r="D791" i="1"/>
  <c r="D789" i="1"/>
  <c r="D788" i="1"/>
  <c r="D786" i="1"/>
  <c r="D784" i="1"/>
  <c r="D782" i="1"/>
  <c r="D780" i="1"/>
  <c r="D778" i="1"/>
  <c r="D776" i="1"/>
  <c r="D774" i="1"/>
  <c r="D771" i="1"/>
  <c r="D772" i="1"/>
  <c r="D769" i="1"/>
  <c r="D767" i="1"/>
  <c r="D766" i="1"/>
  <c r="D764" i="1"/>
  <c r="D763" i="1"/>
  <c r="D762" i="1"/>
  <c r="D761" i="1"/>
  <c r="D759" i="1"/>
  <c r="D757" i="1"/>
  <c r="D756" i="1"/>
  <c r="D754" i="1"/>
  <c r="D749" i="1"/>
  <c r="D828" i="1"/>
  <c r="D744" i="1"/>
  <c r="D743" i="1"/>
  <c r="D742" i="1"/>
  <c r="D741" i="1"/>
  <c r="D739" i="1"/>
  <c r="D737" i="1"/>
  <c r="D735" i="1"/>
  <c r="D733" i="1"/>
  <c r="D731" i="1"/>
  <c r="D729" i="1"/>
  <c r="D727" i="1"/>
  <c r="D725" i="1"/>
  <c r="D724" i="1"/>
  <c r="D722" i="1"/>
  <c r="D720" i="1"/>
  <c r="D718" i="1"/>
  <c r="D716" i="1"/>
  <c r="D715" i="1"/>
  <c r="D713" i="1"/>
  <c r="D710" i="1"/>
  <c r="D709" i="1"/>
  <c r="D708" i="1"/>
  <c r="D707" i="1"/>
  <c r="D706" i="1"/>
  <c r="D705" i="1"/>
  <c r="D704" i="1"/>
  <c r="D703" i="1"/>
  <c r="D702" i="1"/>
  <c r="D701" i="1"/>
  <c r="D700" i="1"/>
  <c r="D699" i="1"/>
  <c r="D698" i="1"/>
  <c r="D697" i="1"/>
  <c r="D696" i="1"/>
  <c r="D695" i="1"/>
  <c r="D694" i="1"/>
  <c r="D693" i="1"/>
  <c r="D692" i="1"/>
  <c r="D691" i="1"/>
  <c r="D690" i="1"/>
  <c r="D689" i="1"/>
  <c r="D687" i="1"/>
  <c r="D686" i="1"/>
  <c r="D685" i="1"/>
  <c r="D682" i="1"/>
  <c r="D681" i="1"/>
  <c r="D679" i="1"/>
  <c r="D678" i="1"/>
  <c r="D676" i="1"/>
  <c r="D674" i="1"/>
  <c r="D673" i="1"/>
  <c r="D671" i="1"/>
  <c r="D670" i="1"/>
  <c r="D669" i="1"/>
  <c r="D668" i="1"/>
  <c r="D667" i="1"/>
  <c r="D666" i="1"/>
  <c r="D665" i="1"/>
  <c r="D663" i="1"/>
  <c r="D662" i="1"/>
  <c r="D661" i="1"/>
  <c r="D660" i="1"/>
  <c r="D658" i="1"/>
  <c r="D656" i="1"/>
  <c r="D655" i="1"/>
  <c r="D654" i="1"/>
  <c r="D653" i="1"/>
  <c r="D652" i="1"/>
  <c r="D651" i="1"/>
  <c r="D650" i="1"/>
  <c r="D649" i="1"/>
  <c r="D648" i="1"/>
  <c r="D647" i="1"/>
  <c r="D646" i="1"/>
  <c r="D645" i="1"/>
  <c r="D644" i="1"/>
  <c r="D643" i="1"/>
  <c r="D642" i="1"/>
  <c r="D641" i="1"/>
  <c r="D640" i="1"/>
  <c r="D639" i="1"/>
  <c r="D638" i="1"/>
  <c r="D636" i="1"/>
  <c r="D635" i="1"/>
  <c r="D633" i="1"/>
  <c r="D632" i="1"/>
  <c r="D631" i="1"/>
  <c r="D630" i="1"/>
  <c r="D629" i="1"/>
  <c r="D627" i="1"/>
  <c r="D626" i="1"/>
  <c r="D625" i="1"/>
  <c r="D622" i="1"/>
  <c r="D621" i="1"/>
  <c r="D618" i="1"/>
  <c r="D619" i="1"/>
  <c r="D617" i="1"/>
  <c r="D616" i="1"/>
  <c r="D615" i="1"/>
  <c r="D614" i="1"/>
  <c r="D613" i="1"/>
  <c r="D612" i="1"/>
  <c r="D611" i="1"/>
  <c r="D610" i="1"/>
  <c r="D609" i="1"/>
  <c r="D607" i="1"/>
  <c r="D604" i="1"/>
  <c r="D602" i="1"/>
  <c r="D601" i="1"/>
  <c r="D600" i="1"/>
  <c r="D599" i="1"/>
  <c r="D597" i="1"/>
  <c r="D598" i="1"/>
  <c r="D596" i="1"/>
  <c r="D595" i="1"/>
  <c r="D594" i="1"/>
  <c r="D593" i="1"/>
  <c r="D592" i="1"/>
  <c r="D591" i="1"/>
  <c r="D589" i="1"/>
  <c r="D588" i="1"/>
  <c r="D587" i="1"/>
  <c r="D585" i="1"/>
  <c r="D586" i="1"/>
  <c r="D583" i="1"/>
  <c r="D582" i="1"/>
  <c r="D581" i="1"/>
  <c r="D580" i="1"/>
  <c r="D579" i="1"/>
  <c r="D577" i="1"/>
  <c r="D576" i="1"/>
  <c r="D575" i="1"/>
  <c r="D573" i="1"/>
  <c r="D571" i="1"/>
  <c r="D570" i="1"/>
  <c r="D569" i="1"/>
  <c r="D567" i="1"/>
  <c r="D566" i="1"/>
  <c r="D565" i="1"/>
  <c r="D563" i="1"/>
  <c r="D561" i="1"/>
  <c r="D560" i="1"/>
  <c r="D559" i="1"/>
  <c r="D558" i="1"/>
  <c r="D557" i="1"/>
  <c r="D556" i="1"/>
  <c r="D555" i="1"/>
  <c r="D554" i="1"/>
  <c r="D552" i="1"/>
  <c r="D550" i="1"/>
  <c r="D549" i="1"/>
  <c r="D548" i="1"/>
  <c r="D547" i="1"/>
  <c r="D545" i="1"/>
  <c r="D544" i="1"/>
  <c r="D542" i="1"/>
  <c r="D540" i="1"/>
  <c r="D538" i="1"/>
  <c r="D536" i="1"/>
  <c r="D534" i="1"/>
  <c r="D533" i="1"/>
  <c r="D532" i="1"/>
  <c r="D530" i="1"/>
  <c r="D529" i="1"/>
  <c r="D528" i="1"/>
  <c r="D527" i="1"/>
  <c r="D525" i="1"/>
  <c r="D526" i="1"/>
  <c r="D518" i="1"/>
  <c r="D520" i="1"/>
  <c r="D519" i="1"/>
  <c r="D517" i="1"/>
  <c r="D516" i="1"/>
  <c r="D515" i="1"/>
  <c r="D513" i="1"/>
  <c r="D509" i="1"/>
  <c r="D508" i="1"/>
  <c r="D507" i="1"/>
  <c r="D506" i="1"/>
  <c r="D504" i="1"/>
  <c r="D503" i="1"/>
  <c r="D501" i="1"/>
  <c r="D500" i="1"/>
  <c r="D498" i="1"/>
  <c r="D496" i="1"/>
  <c r="D494" i="1"/>
  <c r="D493" i="1"/>
  <c r="D491" i="1"/>
  <c r="D489" i="1"/>
  <c r="D488" i="1"/>
  <c r="D487" i="1"/>
  <c r="D482" i="1"/>
  <c r="D481" i="1"/>
  <c r="D480" i="1"/>
  <c r="D478" i="1"/>
  <c r="D476" i="1"/>
  <c r="D475" i="1"/>
  <c r="D473" i="1"/>
  <c r="D472" i="1"/>
  <c r="D470" i="1"/>
  <c r="D469" i="1"/>
  <c r="D467" i="1"/>
  <c r="D466" i="1"/>
  <c r="D465" i="1"/>
  <c r="D464" i="1"/>
  <c r="D462" i="1"/>
  <c r="D461" i="1"/>
  <c r="D460" i="1"/>
  <c r="D459" i="1"/>
  <c r="D458" i="1"/>
  <c r="D457" i="1"/>
  <c r="D455" i="1"/>
  <c r="D454" i="1"/>
  <c r="D453" i="1"/>
  <c r="D452" i="1"/>
  <c r="D451" i="1"/>
  <c r="D450" i="1"/>
  <c r="D448" i="1"/>
  <c r="D447" i="1"/>
  <c r="D446" i="1"/>
  <c r="D441" i="1"/>
  <c r="D440" i="1"/>
  <c r="D437" i="1"/>
  <c r="D436" i="1"/>
  <c r="D435" i="1"/>
  <c r="D433" i="1"/>
  <c r="D432" i="1"/>
  <c r="D430" i="1"/>
  <c r="D429" i="1"/>
  <c r="D427" i="1"/>
  <c r="D425" i="1"/>
  <c r="D424" i="1"/>
  <c r="D421" i="1"/>
  <c r="D420" i="1"/>
  <c r="D419" i="1"/>
  <c r="D418" i="1"/>
  <c r="D414" i="1"/>
  <c r="D411" i="1"/>
  <c r="D410" i="1"/>
  <c r="D409" i="1"/>
  <c r="D408" i="1"/>
  <c r="D406" i="1"/>
  <c r="D404" i="1"/>
  <c r="D402" i="1"/>
  <c r="D400" i="1"/>
  <c r="D401" i="1"/>
  <c r="D398" i="1"/>
  <c r="D397" i="1"/>
  <c r="D396" i="1"/>
  <c r="D394" i="1"/>
  <c r="D393" i="1"/>
  <c r="D392" i="1"/>
  <c r="D391" i="1"/>
  <c r="D390" i="1"/>
  <c r="D389" i="1"/>
  <c r="D387" i="1"/>
  <c r="D386" i="1"/>
  <c r="D385" i="1"/>
  <c r="D384" i="1"/>
  <c r="D383" i="1"/>
  <c r="D382" i="1"/>
  <c r="D381" i="1"/>
  <c r="D380" i="1"/>
  <c r="D379" i="1"/>
  <c r="D378" i="1"/>
  <c r="D377" i="1"/>
  <c r="D376" i="1"/>
  <c r="D375" i="1"/>
  <c r="D374" i="1"/>
  <c r="D373" i="1"/>
  <c r="D372" i="1"/>
  <c r="D371" i="1"/>
  <c r="D370" i="1"/>
  <c r="D369" i="1"/>
  <c r="D368" i="1"/>
  <c r="D367" i="1"/>
  <c r="D365" i="1"/>
  <c r="D364" i="1"/>
  <c r="D363" i="1"/>
  <c r="D362" i="1"/>
  <c r="D361" i="1"/>
  <c r="D360" i="1"/>
  <c r="D359" i="1"/>
  <c r="D356" i="1"/>
  <c r="D355" i="1"/>
  <c r="D353" i="1"/>
  <c r="D352" i="1"/>
  <c r="D319" i="1"/>
  <c r="D320" i="1"/>
  <c r="D321" i="1"/>
  <c r="D322" i="1"/>
  <c r="D323" i="1"/>
  <c r="D324" i="1"/>
  <c r="D325" i="1"/>
  <c r="D326" i="1"/>
  <c r="D327" i="1"/>
  <c r="D328" i="1"/>
  <c r="D329" i="1"/>
  <c r="D330" i="1"/>
  <c r="D331" i="1"/>
  <c r="D332" i="1"/>
  <c r="D333" i="1"/>
  <c r="D334" i="1"/>
  <c r="D335" i="1"/>
  <c r="D336" i="1"/>
  <c r="D337" i="1"/>
  <c r="D338" i="1"/>
  <c r="D339" i="1"/>
  <c r="D340" i="1"/>
  <c r="D341" i="1"/>
  <c r="D342" i="1"/>
  <c r="D343" i="1"/>
  <c r="D344" i="1"/>
  <c r="D345" i="1"/>
  <c r="D346" i="1"/>
  <c r="D347" i="1"/>
  <c r="D348" i="1"/>
  <c r="D349" i="1"/>
  <c r="D350" i="1"/>
  <c r="D318" i="1"/>
  <c r="D317" i="1"/>
  <c r="D313" i="1"/>
  <c r="D314" i="1"/>
  <c r="D315" i="1"/>
  <c r="D312" i="1"/>
  <c r="D302" i="1"/>
  <c r="D303" i="1"/>
  <c r="D304" i="1"/>
  <c r="D305" i="1"/>
  <c r="D306" i="1"/>
  <c r="D307" i="1"/>
  <c r="D308" i="1"/>
  <c r="D309" i="1"/>
  <c r="D310" i="1"/>
  <c r="D311" i="1"/>
  <c r="D301" i="1"/>
  <c r="D299" i="1"/>
  <c r="D298" i="1"/>
  <c r="D296" i="1"/>
  <c r="D295" i="1"/>
  <c r="D290" i="1"/>
  <c r="D291" i="1"/>
  <c r="D292" i="1"/>
  <c r="D293" i="1"/>
  <c r="D289" i="1"/>
  <c r="D287" i="1"/>
  <c r="D286" i="1"/>
  <c r="D279" i="1"/>
  <c r="D280" i="1"/>
  <c r="D281" i="1"/>
  <c r="D282" i="1"/>
  <c r="D283" i="1"/>
  <c r="D284" i="1"/>
  <c r="D278" i="1"/>
  <c r="D273" i="1"/>
  <c r="D274" i="1"/>
  <c r="D275" i="1"/>
  <c r="D276" i="1"/>
  <c r="D272" i="1"/>
  <c r="D207" i="1"/>
  <c r="D208" i="1"/>
  <c r="D209" i="1"/>
  <c r="D210" i="1"/>
  <c r="D211" i="1"/>
  <c r="D212" i="1"/>
  <c r="D213" i="1"/>
  <c r="D214" i="1"/>
  <c r="D215" i="1"/>
  <c r="D216" i="1"/>
  <c r="D217" i="1"/>
  <c r="D218" i="1"/>
  <c r="D219" i="1"/>
  <c r="D220" i="1"/>
  <c r="D221" i="1"/>
  <c r="D222" i="1"/>
  <c r="D223" i="1"/>
  <c r="D224" i="1"/>
  <c r="D225" i="1"/>
  <c r="D226" i="1"/>
  <c r="D227" i="1"/>
  <c r="D228" i="1"/>
  <c r="D229" i="1"/>
  <c r="D230" i="1"/>
  <c r="D231" i="1"/>
  <c r="D232" i="1"/>
  <c r="D233" i="1"/>
  <c r="D234" i="1"/>
  <c r="D235" i="1"/>
  <c r="D236" i="1"/>
  <c r="D237" i="1"/>
  <c r="D238" i="1"/>
  <c r="D239" i="1"/>
  <c r="D240" i="1"/>
  <c r="D241" i="1"/>
  <c r="D242" i="1"/>
  <c r="D243" i="1"/>
  <c r="D244" i="1"/>
  <c r="D245" i="1"/>
  <c r="D246" i="1"/>
  <c r="D247" i="1"/>
  <c r="D248" i="1"/>
  <c r="D249" i="1"/>
  <c r="D250" i="1"/>
  <c r="D251" i="1"/>
  <c r="D252" i="1"/>
  <c r="D253" i="1"/>
  <c r="D254" i="1"/>
  <c r="D255" i="1"/>
  <c r="D256" i="1"/>
  <c r="D257" i="1"/>
  <c r="D258" i="1"/>
  <c r="D259" i="1"/>
  <c r="D260" i="1"/>
  <c r="D261" i="1"/>
  <c r="D262" i="1"/>
  <c r="D263" i="1"/>
  <c r="D264" i="1"/>
  <c r="D265" i="1"/>
  <c r="D266" i="1"/>
  <c r="D267" i="1"/>
  <c r="D268" i="1"/>
  <c r="D269" i="1"/>
  <c r="D270" i="1"/>
  <c r="D206" i="1"/>
  <c r="D204" i="1"/>
  <c r="D202" i="1"/>
  <c r="D200" i="1"/>
  <c r="D198" i="1"/>
  <c r="D197" i="1"/>
  <c r="D196" i="1"/>
  <c r="D195" i="1"/>
  <c r="D194" i="1"/>
  <c r="D193" i="1"/>
  <c r="D192" i="1"/>
  <c r="D191" i="1"/>
  <c r="D189" i="1"/>
  <c r="D188" i="1"/>
  <c r="D187" i="1"/>
  <c r="D185" i="1"/>
  <c r="D184" i="1"/>
  <c r="D183" i="1"/>
  <c r="D182" i="1"/>
  <c r="D180" i="1"/>
  <c r="D178" i="1"/>
  <c r="D177" i="1"/>
  <c r="D176" i="1"/>
  <c r="D174" i="1"/>
  <c r="D173" i="1"/>
  <c r="D172" i="1"/>
  <c r="D171" i="1"/>
  <c r="D169" i="1"/>
  <c r="D168" i="1"/>
  <c r="D167" i="1"/>
  <c r="D165" i="1"/>
  <c r="D164" i="1"/>
  <c r="D163" i="1"/>
  <c r="D162" i="1"/>
  <c r="D161" i="1"/>
  <c r="D160" i="1"/>
  <c r="D159" i="1"/>
  <c r="D158" i="1"/>
  <c r="D157" i="1"/>
  <c r="D154" i="1"/>
  <c r="D153" i="1"/>
  <c r="D152" i="1"/>
  <c r="D149" i="1"/>
  <c r="D148" i="1"/>
  <c r="D147" i="1"/>
  <c r="D146" i="1"/>
  <c r="D145" i="1"/>
  <c r="D144" i="1"/>
  <c r="D143" i="1"/>
  <c r="D141" i="1"/>
  <c r="D142" i="1"/>
  <c r="D138" i="1"/>
  <c r="D137" i="1"/>
  <c r="D136" i="1"/>
  <c r="D135" i="1"/>
  <c r="D134" i="1"/>
  <c r="D133" i="1"/>
  <c r="D132" i="1"/>
  <c r="D131" i="1"/>
  <c r="D130" i="1"/>
  <c r="D129" i="1"/>
  <c r="D128" i="1"/>
  <c r="D127" i="1"/>
  <c r="D126" i="1"/>
  <c r="D125" i="1"/>
  <c r="D124" i="1"/>
  <c r="D123" i="1"/>
  <c r="D122" i="1"/>
  <c r="D121" i="1"/>
  <c r="D120" i="1"/>
  <c r="D118" i="1"/>
  <c r="D116" i="1"/>
  <c r="D114" i="1"/>
  <c r="D113" i="1"/>
  <c r="D112" i="1"/>
  <c r="D111" i="1"/>
  <c r="D110" i="1"/>
  <c r="D109" i="1"/>
  <c r="D108" i="1"/>
  <c r="D107" i="1"/>
  <c r="D106" i="1"/>
  <c r="D104" i="1"/>
  <c r="D103" i="1"/>
  <c r="D102" i="1"/>
  <c r="D101" i="1"/>
  <c r="D100" i="1"/>
  <c r="D99" i="1"/>
  <c r="D98" i="1"/>
  <c r="D97" i="1"/>
  <c r="D96" i="1"/>
  <c r="D95" i="1"/>
  <c r="D94" i="1"/>
  <c r="D93" i="1"/>
  <c r="D92" i="1"/>
  <c r="D91" i="1"/>
  <c r="D90" i="1"/>
  <c r="D89" i="1"/>
  <c r="D88" i="1"/>
  <c r="D87" i="1"/>
  <c r="D85" i="1"/>
  <c r="D84" i="1"/>
  <c r="D83" i="1"/>
  <c r="D81" i="1"/>
  <c r="D80" i="1"/>
  <c r="D79" i="1"/>
  <c r="D78" i="1"/>
  <c r="D77" i="1"/>
  <c r="D76" i="1"/>
  <c r="D75" i="1"/>
  <c r="D74" i="1"/>
  <c r="D72" i="1"/>
  <c r="D71" i="1"/>
  <c r="D70" i="1"/>
  <c r="D69" i="1"/>
  <c r="D68" i="1"/>
  <c r="D67" i="1"/>
  <c r="D66" i="1"/>
  <c r="D65" i="1"/>
  <c r="D64" i="1"/>
  <c r="D63" i="1"/>
  <c r="D61" i="1"/>
  <c r="D60" i="1"/>
  <c r="D59" i="1"/>
  <c r="D58" i="1"/>
  <c r="D57" i="1"/>
  <c r="D56" i="1"/>
  <c r="D55" i="1"/>
  <c r="D54" i="1"/>
  <c r="D53" i="1"/>
  <c r="D52" i="1"/>
  <c r="D50" i="1"/>
  <c r="D49" i="1"/>
  <c r="D48" i="1"/>
  <c r="D47" i="1"/>
  <c r="D46" i="1"/>
  <c r="D45" i="1"/>
  <c r="D44" i="1"/>
  <c r="D43" i="1"/>
  <c r="D42" i="1"/>
  <c r="D40" i="1"/>
  <c r="D41" i="1"/>
  <c r="D39" i="1"/>
  <c r="D38" i="1"/>
  <c r="D37" i="1"/>
  <c r="D36" i="1"/>
  <c r="D35" i="1"/>
  <c r="D34" i="1"/>
  <c r="D31" i="1"/>
  <c r="D30" i="1"/>
  <c r="D29" i="1"/>
  <c r="D28" i="1"/>
  <c r="D27" i="1"/>
  <c r="D26" i="1"/>
  <c r="D25" i="1"/>
  <c r="D24" i="1"/>
  <c r="D23" i="1"/>
  <c r="D22" i="1"/>
  <c r="D21" i="1"/>
  <c r="D19" i="1"/>
  <c r="D18" i="1"/>
  <c r="D17" i="1"/>
  <c r="D16" i="1"/>
  <c r="D15" i="1"/>
  <c r="D13" i="1"/>
  <c r="D12" i="1"/>
  <c r="D11" i="1"/>
  <c r="D10" i="1"/>
  <c r="D9" i="1"/>
  <c r="D8" i="1"/>
  <c r="D7" i="1"/>
  <c r="D6" i="1"/>
  <c r="A945" i="1"/>
  <c r="A946" i="1"/>
  <c r="A947" i="1"/>
  <c r="A948" i="1"/>
  <c r="A949" i="1"/>
  <c r="A950" i="1"/>
  <c r="A951" i="1"/>
  <c r="A952" i="1"/>
  <c r="A953" i="1"/>
  <c r="A954" i="1"/>
  <c r="A955" i="1"/>
  <c r="A956" i="1"/>
  <c r="A957" i="1"/>
  <c r="A958" i="1"/>
  <c r="A959" i="1"/>
  <c r="A960" i="1"/>
  <c r="A961" i="1"/>
  <c r="A962" i="1"/>
  <c r="A963" i="1"/>
  <c r="A964" i="1"/>
  <c r="A965" i="1"/>
  <c r="A966" i="1"/>
  <c r="A967" i="1"/>
  <c r="A968" i="1"/>
  <c r="A969" i="1"/>
  <c r="A970" i="1"/>
  <c r="A932" i="1"/>
  <c r="A933" i="1"/>
  <c r="A934" i="1"/>
  <c r="A935" i="1"/>
  <c r="A936" i="1"/>
  <c r="A937" i="1"/>
  <c r="A938" i="1"/>
  <c r="A939" i="1"/>
  <c r="A940" i="1"/>
  <c r="A941" i="1"/>
  <c r="A942" i="1"/>
  <c r="A943" i="1"/>
  <c r="A972" i="1"/>
</calcChain>
</file>

<file path=xl/sharedStrings.xml><?xml version="1.0" encoding="utf-8"?>
<sst xmlns="http://schemas.openxmlformats.org/spreadsheetml/2006/main" count="3115" uniqueCount="1811">
  <si>
    <t>Микоплазма hominis  (антитела  класса IgА)</t>
  </si>
  <si>
    <t>П101</t>
  </si>
  <si>
    <t>Микоплазма hominis  (определение ДНК)</t>
  </si>
  <si>
    <t>П120</t>
  </si>
  <si>
    <t>Микоплазма genitalium (определение ДНК)</t>
  </si>
  <si>
    <t>С145</t>
  </si>
  <si>
    <t>С146</t>
  </si>
  <si>
    <t xml:space="preserve">Микоплазма pneumoniae  (антитела  класса IgА) </t>
  </si>
  <si>
    <t>Уреаплазменная инфекция</t>
  </si>
  <si>
    <t>С114</t>
  </si>
  <si>
    <t>Уреаплазма  urealyticum  (антитела класса IgG)</t>
  </si>
  <si>
    <t>С115</t>
  </si>
  <si>
    <t>Уреаплазма  urealyticum  (антитела класса IgА)</t>
  </si>
  <si>
    <t>П164</t>
  </si>
  <si>
    <t>С196</t>
  </si>
  <si>
    <t>Аспергилиус (антитела класса IgG)</t>
  </si>
  <si>
    <t>Лямблии</t>
  </si>
  <si>
    <t>С319</t>
  </si>
  <si>
    <t>Лямблии (антитела класса IgМ)</t>
  </si>
  <si>
    <t>С120</t>
  </si>
  <si>
    <t>Лямблии (суммарные антитела)</t>
  </si>
  <si>
    <t>Гельминты</t>
  </si>
  <si>
    <t>С151</t>
  </si>
  <si>
    <t>Эхинококки (антитела класса IgG)</t>
  </si>
  <si>
    <t>Панкреатическая эластаза 1</t>
  </si>
  <si>
    <t>Описторхисы  (антитела IgG, специфические  ЦИК, содержащие антигены описторхисов)</t>
  </si>
  <si>
    <t>С150</t>
  </si>
  <si>
    <t>Токсокары (антитела класса IgG)</t>
  </si>
  <si>
    <t>С153</t>
  </si>
  <si>
    <t>Трихинеллы (антитела класса IgG)</t>
  </si>
  <si>
    <t>С154</t>
  </si>
  <si>
    <t>Аскариды (антитела класса IgG)</t>
  </si>
  <si>
    <t>С379</t>
  </si>
  <si>
    <t>Анизакиды (антитела класса IgG)</t>
  </si>
  <si>
    <t>К161</t>
  </si>
  <si>
    <t>Исследование соскоба на энтеробиоз (яйца остриц)</t>
  </si>
  <si>
    <t>Кандидоз</t>
  </si>
  <si>
    <t>С314</t>
  </si>
  <si>
    <t>Кандида (Candida albicans) (антитела  класса IgG)</t>
  </si>
  <si>
    <t>П151</t>
  </si>
  <si>
    <t>Кандида (Candida albicans) (определение ДНК)</t>
  </si>
  <si>
    <t>Трихомониаз</t>
  </si>
  <si>
    <t>С128</t>
  </si>
  <si>
    <t>Трихомонада (Trichomonas vaginalis) (антитела класса IgG )</t>
  </si>
  <si>
    <t>П150</t>
  </si>
  <si>
    <t>Трихомонада (Trichomonas vaginalis) (определение ДНК)</t>
  </si>
  <si>
    <t>Токсоплазмоз</t>
  </si>
  <si>
    <t>А127</t>
  </si>
  <si>
    <t xml:space="preserve">Токсоплазмоз (Toxoplasma gondii) (антитела класса IgG) </t>
  </si>
  <si>
    <t>А129</t>
  </si>
  <si>
    <t>П200</t>
  </si>
  <si>
    <t>Профиль 45</t>
  </si>
  <si>
    <t>Профиль 47</t>
  </si>
  <si>
    <t>П207</t>
  </si>
  <si>
    <t>П208</t>
  </si>
  <si>
    <t>П210</t>
  </si>
  <si>
    <t>Профиль 48</t>
  </si>
  <si>
    <t>П214</t>
  </si>
  <si>
    <t>П215</t>
  </si>
  <si>
    <t>Профиль 50</t>
  </si>
  <si>
    <t>О061</t>
  </si>
  <si>
    <t>О062</t>
  </si>
  <si>
    <t>С116</t>
  </si>
  <si>
    <t xml:space="preserve">Токсоплазмоз (Toxoplasma gondii) (антитела класса IgМ) </t>
  </si>
  <si>
    <t>С143</t>
  </si>
  <si>
    <t>Токсоплазмоз (Toxoplasma gondii) (индекс авидности  IgG)</t>
  </si>
  <si>
    <t>П130</t>
  </si>
  <si>
    <t>Токсоплазмоз (Toxoplasma gondii) (определение ДНК)</t>
  </si>
  <si>
    <t>Исследование мочи</t>
  </si>
  <si>
    <t>М100</t>
  </si>
  <si>
    <t>Общий анализ мочи (c микроскопией мочевого осадка)</t>
  </si>
  <si>
    <t>М150</t>
  </si>
  <si>
    <t>Анализ мочи по Нечипоренко</t>
  </si>
  <si>
    <t>Микроскопия осадка разовой порции мочи (NICON)</t>
  </si>
  <si>
    <t>М112</t>
  </si>
  <si>
    <t>Микроскопия осадка суточной мочи на соли (NICON)</t>
  </si>
  <si>
    <t>М113</t>
  </si>
  <si>
    <t>Оксалаты в суточной моче</t>
  </si>
  <si>
    <t>Исследование кала</t>
  </si>
  <si>
    <t>К160</t>
  </si>
  <si>
    <t>К162</t>
  </si>
  <si>
    <t>Исследование кала на яйца гельминтов (яйца глист)</t>
  </si>
  <si>
    <t>Г139</t>
  </si>
  <si>
    <t>Цитологические исследования</t>
  </si>
  <si>
    <t>Т340</t>
  </si>
  <si>
    <t>Гистологическое исследование биопсийного материала и материала, полученного при хирургических вмешательствах</t>
  </si>
  <si>
    <t>Молекулярно-генетические исследования</t>
  </si>
  <si>
    <t>HLA – типирование генов</t>
  </si>
  <si>
    <t>П193</t>
  </si>
  <si>
    <t>Определение аллели 27 локуса В (HLA B 27)</t>
  </si>
  <si>
    <t>И163</t>
  </si>
  <si>
    <t>Муковисцидоз</t>
  </si>
  <si>
    <t>Мультифакторные состояния</t>
  </si>
  <si>
    <t>Эпидемический паротит (антитела класса Ig G)</t>
  </si>
  <si>
    <t>Эпидемический паротит (антитела класса Ig М)</t>
  </si>
  <si>
    <t>П171</t>
  </si>
  <si>
    <t>Сердечно-сосудистые заболевания</t>
  </si>
  <si>
    <t>Нарушение обмена веществ</t>
  </si>
  <si>
    <t>Генетические факторы, влияющие на прогноз эффективности лечения и переносимость лекарственных препаратов</t>
  </si>
  <si>
    <t>Хламидия trachomatis  
(антитела IgG к белку теплового шока HSP 60)</t>
  </si>
  <si>
    <t>Риск развития онкологических заболеваний</t>
  </si>
  <si>
    <t>Бесплодие и невынашивание беременности, риск патологии плода</t>
  </si>
  <si>
    <t>Предрасположенность к осложнению беременности и порокам развития плода</t>
  </si>
  <si>
    <t>МОЧА</t>
  </si>
  <si>
    <t>ОТДЕЛЯЕМОЕ МОЧЕПОЛОВЫХ ОРГАНОВ</t>
  </si>
  <si>
    <t>С177</t>
  </si>
  <si>
    <t xml:space="preserve">Микроскопическое исследование на микрофлору окрашенного мазка </t>
  </si>
  <si>
    <t>Посев на Ureaplasma urealyticum с определением чувствительности к антибиотикам</t>
  </si>
  <si>
    <t>Посев на Mycoplasma hominis с определением чувствительности к антибиотикам</t>
  </si>
  <si>
    <t>КАЛ</t>
  </si>
  <si>
    <t>С-концевые телопептиды коллагена (Бета-CrossLaps)</t>
  </si>
  <si>
    <t>ГРУДНОЕ МОЛОКО</t>
  </si>
  <si>
    <t>Посев на золотистый стафилококк и чувствительность к антибиотикам.</t>
  </si>
  <si>
    <t>ОТДЕЛЯЕМОЕ ИЗ ГЛАЗА</t>
  </si>
  <si>
    <t>ОТДЕЛЯЕМОЕ ИЗ УХА</t>
  </si>
  <si>
    <t>М130</t>
  </si>
  <si>
    <t>Посев на  стрептококк  и чувствительность к антибиотикам.</t>
  </si>
  <si>
    <t>МОКРОТА</t>
  </si>
  <si>
    <t xml:space="preserve">Иммуногистохимическое исследование материала </t>
  </si>
  <si>
    <t>М131</t>
  </si>
  <si>
    <t>К159</t>
  </si>
  <si>
    <t>Микроскопическое исследование на эозинофилы окрашенного мазка</t>
  </si>
  <si>
    <t>М132</t>
  </si>
  <si>
    <t>Микроскопическое исследование на микобактерию туберкулеза окрашенного мазка</t>
  </si>
  <si>
    <t>РАНЕВОЕ ОТДЕЛЯЕМОЕ, СОСКОБ С КОЖИ</t>
  </si>
  <si>
    <t>№</t>
  </si>
  <si>
    <t xml:space="preserve">Коклюш (Bordetella pertussis)  (антитела класса IgG) </t>
  </si>
  <si>
    <t xml:space="preserve">Коклюш (Bordetella pertussis)  (антитела класса IgА) </t>
  </si>
  <si>
    <t>Коклюш (Bordetella pertussis)  (антитела класса IgМ)</t>
  </si>
  <si>
    <t>Гистологическое исследования</t>
  </si>
  <si>
    <t>Т341</t>
  </si>
  <si>
    <t>Маркеры гепатита С (anti -HCV-core, anti -HCV-NS3, anti -HCV-NS4, anti -HCV-NS5, anti -HCV- IgM)</t>
  </si>
  <si>
    <t>Микоплазма pneumoniae (антитела  класса IgG) (титр)</t>
  </si>
  <si>
    <t>Нейро-специфическая енолаза NSE</t>
  </si>
  <si>
    <t>Белок S 100</t>
  </si>
  <si>
    <t>Кальцитонин</t>
  </si>
  <si>
    <t>Остеокальцин</t>
  </si>
  <si>
    <t>Макер формирования костного матрикса P1NP</t>
  </si>
  <si>
    <t>И146</t>
  </si>
  <si>
    <t>С459</t>
  </si>
  <si>
    <t>Антитела к антигенам эритроцитов системы Резус (скрининг, специфичность,титр)</t>
  </si>
  <si>
    <t>Амилаза панкреатическая</t>
  </si>
  <si>
    <t>Вирусный гепатит D (HDV) (определение РНК) 
(вирусная нагрузка)</t>
  </si>
  <si>
    <t>Вирусный гепатит G (HGV) (определение РНК) 
(вирусная нагрузка)</t>
  </si>
  <si>
    <t>Г137</t>
  </si>
  <si>
    <t>К113</t>
  </si>
  <si>
    <t>И118</t>
  </si>
  <si>
    <t>С279</t>
  </si>
  <si>
    <t>С275</t>
  </si>
  <si>
    <t>М200</t>
  </si>
  <si>
    <t>С425</t>
  </si>
  <si>
    <t>Медь</t>
  </si>
  <si>
    <t>Цинк</t>
  </si>
  <si>
    <t>Цистатин-С</t>
  </si>
  <si>
    <t>Липопротеин - А</t>
  </si>
  <si>
    <t>Желчные кислоты</t>
  </si>
  <si>
    <t>Метанефрин, Норметанефрин</t>
  </si>
  <si>
    <t>Наименование услуги</t>
  </si>
  <si>
    <t>Результат</t>
  </si>
  <si>
    <t>Цена     (руб.) </t>
  </si>
  <si>
    <t>О070,О071</t>
  </si>
  <si>
    <t>Посев на золотистый стафилококк и чувствительность к бактериофагам.</t>
  </si>
  <si>
    <t>О074</t>
  </si>
  <si>
    <t>О016</t>
  </si>
  <si>
    <t>О017</t>
  </si>
  <si>
    <t>О019,О020</t>
  </si>
  <si>
    <t>О021</t>
  </si>
  <si>
    <t>О022</t>
  </si>
  <si>
    <t>О023</t>
  </si>
  <si>
    <t>О026</t>
  </si>
  <si>
    <t>О029</t>
  </si>
  <si>
    <t>О030</t>
  </si>
  <si>
    <t>Бактериологические исследования</t>
  </si>
  <si>
    <t>О031</t>
  </si>
  <si>
    <t>О032</t>
  </si>
  <si>
    <t>О033</t>
  </si>
  <si>
    <t>Гематологические исследования</t>
  </si>
  <si>
    <t>Г100</t>
  </si>
  <si>
    <t>Общий анализ крови без лейкоцитарной формулы (с СОЭ)</t>
  </si>
  <si>
    <t>количеств.</t>
  </si>
  <si>
    <t xml:space="preserve">Общий анализ крови с лейкоцитарной формулой  (с СОЭ) </t>
  </si>
  <si>
    <t>Г109</t>
  </si>
  <si>
    <t>Г130</t>
  </si>
  <si>
    <t>Базофильная пунктуация эритроцитов</t>
  </si>
  <si>
    <t>качеств.</t>
  </si>
  <si>
    <t xml:space="preserve">СОЭ </t>
  </si>
  <si>
    <t>Изосерологические исследования</t>
  </si>
  <si>
    <t>С176</t>
  </si>
  <si>
    <t>Р100</t>
  </si>
  <si>
    <t>Антитела к антигенам эритроцитов системы АВО</t>
  </si>
  <si>
    <t>С174</t>
  </si>
  <si>
    <t>Группа крови и резус-фактор</t>
  </si>
  <si>
    <t>Коагулогические исследования</t>
  </si>
  <si>
    <t xml:space="preserve">Антитромбин III </t>
  </si>
  <si>
    <t>К102</t>
  </si>
  <si>
    <t>Протромбиновое время, протромбиновое время по Квику, МНО</t>
  </si>
  <si>
    <t>К111</t>
  </si>
  <si>
    <t>Фибриноген (метод Клауса)</t>
  </si>
  <si>
    <t>К103</t>
  </si>
  <si>
    <t>Тромбиновое время</t>
  </si>
  <si>
    <t>К109</t>
  </si>
  <si>
    <t>Волчаночный антикоагулянт</t>
  </si>
  <si>
    <t xml:space="preserve">Биохимические исследования </t>
  </si>
  <si>
    <t>Субстраты</t>
  </si>
  <si>
    <t>Альбумин</t>
  </si>
  <si>
    <t>Билирубин общий</t>
  </si>
  <si>
    <t xml:space="preserve">Билирубин прямой </t>
  </si>
  <si>
    <t>Белковые фракции, общий белок</t>
  </si>
  <si>
    <t>Б128</t>
  </si>
  <si>
    <t xml:space="preserve">Гликированный гемоглобин </t>
  </si>
  <si>
    <t>Б101</t>
  </si>
  <si>
    <t>Глюкоза</t>
  </si>
  <si>
    <t>Гомоцистеин</t>
  </si>
  <si>
    <t>Сифилис (Treponema pallidum ) (RPR, антикардиолипиновый тест)</t>
  </si>
  <si>
    <t xml:space="preserve">Сифилис (Treponema pallidum) ИФА (суммарн. антитела IgG, IgM) </t>
  </si>
  <si>
    <t>Сифилис (Treponema pallidum) РПГА (суммарн. антитела IgG, IgM)</t>
  </si>
  <si>
    <t>Туберкулез (Mycobacterium tuberculosis) (суммарные антитела IgG, IgM, IgA)</t>
  </si>
  <si>
    <t>Креатинин</t>
  </si>
  <si>
    <t>Лактат</t>
  </si>
  <si>
    <t>Мочевая кислота</t>
  </si>
  <si>
    <t>Мочевина</t>
  </si>
  <si>
    <t>Общий белок</t>
  </si>
  <si>
    <t>Т104</t>
  </si>
  <si>
    <t>С754</t>
  </si>
  <si>
    <t>С755</t>
  </si>
  <si>
    <t>С756</t>
  </si>
  <si>
    <t>С757</t>
  </si>
  <si>
    <t>С758</t>
  </si>
  <si>
    <t>С760</t>
  </si>
  <si>
    <t>С761</t>
  </si>
  <si>
    <t>С764</t>
  </si>
  <si>
    <t>С767</t>
  </si>
  <si>
    <t>С777</t>
  </si>
  <si>
    <t>С779</t>
  </si>
  <si>
    <t>С783</t>
  </si>
  <si>
    <t>С780</t>
  </si>
  <si>
    <t>С781</t>
  </si>
  <si>
    <t>Фруктозамин</t>
  </si>
  <si>
    <t>Ферменты</t>
  </si>
  <si>
    <t xml:space="preserve">Аланинаминотрансфераза  (АЛТ) </t>
  </si>
  <si>
    <t xml:space="preserve">Альфа-амилаза </t>
  </si>
  <si>
    <t>Аспартатаминотрансфераза  (АСТ)</t>
  </si>
  <si>
    <t>Гамма-глютамилтрансферазаза (ГТП)</t>
  </si>
  <si>
    <t>Креатинкиназа (КФК)</t>
  </si>
  <si>
    <t>Лактатдегидрогеназа (ЛДГ)</t>
  </si>
  <si>
    <t>Липаза</t>
  </si>
  <si>
    <t>Холинэстераза (ацетилхолинэстераза)</t>
  </si>
  <si>
    <t>Липидный спектр</t>
  </si>
  <si>
    <t>Аполипопротеин А1</t>
  </si>
  <si>
    <t>Аполипопротеин В</t>
  </si>
  <si>
    <t>Триглицериды</t>
  </si>
  <si>
    <t>Общий холестерин</t>
  </si>
  <si>
    <t xml:space="preserve">Холестерин-ЛПВП </t>
  </si>
  <si>
    <t xml:space="preserve">Холестерин-ЛПНП </t>
  </si>
  <si>
    <t>Железо</t>
  </si>
  <si>
    <t>Калий, Натрий, Хлор</t>
  </si>
  <si>
    <t>Кальций</t>
  </si>
  <si>
    <t>Кальций ионизированный</t>
  </si>
  <si>
    <t>Магний</t>
  </si>
  <si>
    <t>Фосфор</t>
  </si>
  <si>
    <t>Витамины</t>
  </si>
  <si>
    <t>А117</t>
  </si>
  <si>
    <t>Витамин В12</t>
  </si>
  <si>
    <t>А116</t>
  </si>
  <si>
    <t>Фолат (фолиевая кислота)</t>
  </si>
  <si>
    <t>А218</t>
  </si>
  <si>
    <t>25-ОН Витамин D</t>
  </si>
  <si>
    <t>Специфические белки</t>
  </si>
  <si>
    <t>Антистрептолизин-О</t>
  </si>
  <si>
    <t>Альфа -1 - антитрипсин</t>
  </si>
  <si>
    <t>Гаптоглобин</t>
  </si>
  <si>
    <t xml:space="preserve">ЛЖСС </t>
  </si>
  <si>
    <t>С313</t>
  </si>
  <si>
    <t>Миоглобин</t>
  </si>
  <si>
    <t>Ревматоидный фактор (РФ)</t>
  </si>
  <si>
    <t>С133</t>
  </si>
  <si>
    <t>С135</t>
  </si>
  <si>
    <t>С134</t>
  </si>
  <si>
    <t>С136</t>
  </si>
  <si>
    <t>С139</t>
  </si>
  <si>
    <t>С160</t>
  </si>
  <si>
    <t>Сифилис (Treponema pallidum) (антитела класса IgM)</t>
  </si>
  <si>
    <t>Сифилис (Treponema pallidum) (антитела класса IgG)</t>
  </si>
  <si>
    <t>Стрептококковая инфекция</t>
  </si>
  <si>
    <t>Стрептококк pneumoniae (определение ДНК)</t>
  </si>
  <si>
    <t>П114</t>
  </si>
  <si>
    <t xml:space="preserve">С-реактивный белок (С-РБ) </t>
  </si>
  <si>
    <t>Трансферрин</t>
  </si>
  <si>
    <t>И138</t>
  </si>
  <si>
    <t>Ферритин</t>
  </si>
  <si>
    <t>Церулоплазмин</t>
  </si>
  <si>
    <t>Кардиомаркер</t>
  </si>
  <si>
    <t>С268</t>
  </si>
  <si>
    <t>Опухолевые маркеры</t>
  </si>
  <si>
    <t>И119</t>
  </si>
  <si>
    <t>Cyfra 21-1</t>
  </si>
  <si>
    <t>И109</t>
  </si>
  <si>
    <t>Альфафетопротеин (АФП)</t>
  </si>
  <si>
    <t>А109</t>
  </si>
  <si>
    <t xml:space="preserve">ПСА общий </t>
  </si>
  <si>
    <t>А110</t>
  </si>
  <si>
    <t xml:space="preserve">ПСА свободный </t>
  </si>
  <si>
    <t>И111</t>
  </si>
  <si>
    <t>РЭА</t>
  </si>
  <si>
    <t>И117</t>
  </si>
  <si>
    <t>Са 125</t>
  </si>
  <si>
    <t>И112</t>
  </si>
  <si>
    <t xml:space="preserve">Са 72-4 </t>
  </si>
  <si>
    <t>И116</t>
  </si>
  <si>
    <t xml:space="preserve">Са 15-3 </t>
  </si>
  <si>
    <t xml:space="preserve">Са 19-9 </t>
  </si>
  <si>
    <t>С274</t>
  </si>
  <si>
    <t>Са 242</t>
  </si>
  <si>
    <t>НЕ4</t>
  </si>
  <si>
    <t>Иммунологические исследования</t>
  </si>
  <si>
    <t>Иммунный статус</t>
  </si>
  <si>
    <t xml:space="preserve">Иммуноглобулин  А </t>
  </si>
  <si>
    <t>Иммуноглобулин G</t>
  </si>
  <si>
    <t>Иммуноглобулин М</t>
  </si>
  <si>
    <t>С334</t>
  </si>
  <si>
    <t>С333</t>
  </si>
  <si>
    <t>С335</t>
  </si>
  <si>
    <t>Циркулирующие иммунные комплексы С3D (ЦИК С3D )</t>
  </si>
  <si>
    <t>Маркеры аутоиммунных заболеваний</t>
  </si>
  <si>
    <t>Диагностика антифосфолипидного синдрома</t>
  </si>
  <si>
    <t>С247</t>
  </si>
  <si>
    <t>Антитела к кардиолипину скрининг – суммарные IgG, IgA, IgM</t>
  </si>
  <si>
    <t>Диагностика системных заболеваний соединительной ткани</t>
  </si>
  <si>
    <t>С336</t>
  </si>
  <si>
    <t>С337</t>
  </si>
  <si>
    <t>полуколич.</t>
  </si>
  <si>
    <t>С338</t>
  </si>
  <si>
    <t>С420</t>
  </si>
  <si>
    <t>Антитела к компоненту Scl-70</t>
  </si>
  <si>
    <t>С421</t>
  </si>
  <si>
    <t>Антитела к компоненту SS-A</t>
  </si>
  <si>
    <t>С422</t>
  </si>
  <si>
    <t>Антитела к компоненту SS-B</t>
  </si>
  <si>
    <t>А120</t>
  </si>
  <si>
    <t>Антитела к циклическому цитруллинированному пептиду (АЦЦП)</t>
  </si>
  <si>
    <t>Диагностика аутоиммунной эндокринопатии</t>
  </si>
  <si>
    <t>С325</t>
  </si>
  <si>
    <t>Антитела IgG к инсулину</t>
  </si>
  <si>
    <t>А104</t>
  </si>
  <si>
    <t>Антитела к тиреоглобулину  (Анти -ТГ)</t>
  </si>
  <si>
    <t>А103</t>
  </si>
  <si>
    <t>Антитела к тиреопероксидазе (Анти -ТПО)</t>
  </si>
  <si>
    <t>Антитела к рецепторам ТТГ (АТ-ТТГ)</t>
  </si>
  <si>
    <t>С424</t>
  </si>
  <si>
    <t>Антитела к бета-клеткам поджелудочной железы</t>
  </si>
  <si>
    <t>Диагностика аутоиммунного поражения печени</t>
  </si>
  <si>
    <t>С269</t>
  </si>
  <si>
    <t>С423</t>
  </si>
  <si>
    <t>Диагностика аутоиммунного поражения желудочно-кишечного тракта</t>
  </si>
  <si>
    <t>С270</t>
  </si>
  <si>
    <t>С213</t>
  </si>
  <si>
    <t>С214</t>
  </si>
  <si>
    <t>SCC (антиген плоскоклеточной карциномы)</t>
  </si>
  <si>
    <t>С215</t>
  </si>
  <si>
    <t>С216</t>
  </si>
  <si>
    <t>Диагностика аллергии</t>
  </si>
  <si>
    <t>И142</t>
  </si>
  <si>
    <t>Иммуноглобулин Е (общий)</t>
  </si>
  <si>
    <t>Аллерген эпителия собаки, специфический IgE</t>
  </si>
  <si>
    <t>С200</t>
  </si>
  <si>
    <t>Аллерген шерсти кошки, специфический IgE</t>
  </si>
  <si>
    <t>Аллерген эпителия кошки, специфический IgE</t>
  </si>
  <si>
    <t>С372</t>
  </si>
  <si>
    <t>Аллерген перхоти кошки, специфический IgE</t>
  </si>
  <si>
    <t>С219</t>
  </si>
  <si>
    <t>Аллерген яда пчелы медоносной, специфический IgE</t>
  </si>
  <si>
    <t>С225</t>
  </si>
  <si>
    <t>Аллерген латекса/каучука, специфический IgE</t>
  </si>
  <si>
    <t>С261</t>
  </si>
  <si>
    <t>Аллерген смесь синтетического текстиля (искусственный шелк, нейлон, акрил, терелен), специфический IgE</t>
  </si>
  <si>
    <t>Аллерген одуванчика лекарственного, специфический IgE</t>
  </si>
  <si>
    <t>Аллерген полыни, специфический IgE</t>
  </si>
  <si>
    <t>Аллерген овсянницы, специфический IgE</t>
  </si>
  <si>
    <t>Аллерген березы, специфический IgE</t>
  </si>
  <si>
    <t>Аллерген тополя, специфический IgE</t>
  </si>
  <si>
    <t>С223</t>
  </si>
  <si>
    <t>Аллерген сосны обыкновенной, специфический IgE</t>
  </si>
  <si>
    <t>С264</t>
  </si>
  <si>
    <t>С263</t>
  </si>
  <si>
    <t>С208</t>
  </si>
  <si>
    <t>Аллерген мандарина, специфический IgE</t>
  </si>
  <si>
    <t>Аллерген апельсина, специфический IgE</t>
  </si>
  <si>
    <t>Аллерген банана, специфический IgE</t>
  </si>
  <si>
    <t>Аллерген лимона, специфический IgE</t>
  </si>
  <si>
    <t>С450</t>
  </si>
  <si>
    <t>Аллерген винограда, специфический IgE</t>
  </si>
  <si>
    <t>Аллерген мяса индейки, специфический IgE</t>
  </si>
  <si>
    <t>Аллерген свинины, специфический IgE</t>
  </si>
  <si>
    <t>Аллерген яда осы обыкновенной, специфический IgE</t>
  </si>
  <si>
    <t>С456</t>
  </si>
  <si>
    <t>Аллерген клеща домашней пыли Derm. Farinae, 
специфический IgE</t>
  </si>
  <si>
    <t>Аллерген казеина, специфический IgE</t>
  </si>
  <si>
    <t>Аллерген мяса курицы, специфический IgE</t>
  </si>
  <si>
    <t>Аллерген говядины, специфический IgE</t>
  </si>
  <si>
    <t>С288</t>
  </si>
  <si>
    <t>Аллерген сельди, специфический IgE</t>
  </si>
  <si>
    <t>С289</t>
  </si>
  <si>
    <t>Аллерген семги (лосося атлантического), специфический IgE</t>
  </si>
  <si>
    <t>С207</t>
  </si>
  <si>
    <t>Аллерген трески, специфический IgE</t>
  </si>
  <si>
    <t>С262</t>
  </si>
  <si>
    <t>Аллерген креветки, специфический IgE</t>
  </si>
  <si>
    <t>Аллерген овса, специфический IgE</t>
  </si>
  <si>
    <t>Аллерген гречки, специфический IgE</t>
  </si>
  <si>
    <t>С374</t>
  </si>
  <si>
    <t>Аллерген семян подсолнечника, специфический IgE</t>
  </si>
  <si>
    <t>Аллерген дрожжей пекарских, специфический IgE</t>
  </si>
  <si>
    <t>Аллерген арахиса, специфический IgE</t>
  </si>
  <si>
    <t>Аллерген моркови, специфический IgE</t>
  </si>
  <si>
    <t>С300</t>
  </si>
  <si>
    <t>С302</t>
  </si>
  <si>
    <t>Аллерген кабачка цукини, специфический IgE</t>
  </si>
  <si>
    <t>Аллерген тыквы обыкновенной, специфический IgE</t>
  </si>
  <si>
    <t>Аллерген шоколада, специфический IgE</t>
  </si>
  <si>
    <t>Вирус герпеса 6 типа (HHV 6) (антитела класса IgG)</t>
  </si>
  <si>
    <t>Генотипирование вируса простого герпеса 1,2 (Н simplex ½, Herpes I/II, HSV 1 и 2) (определение ДНК)</t>
  </si>
  <si>
    <t>Вирус герпеса 6 типа (HHV 6) (определение ДНК)</t>
  </si>
  <si>
    <t>Вирус Эпштейна –Барр (HSV 4, Epstein-Barr, EBV) (определение ДНК)</t>
  </si>
  <si>
    <t>Вирус Эпштейна-Барр (HSV 4, Epstein-Barr, EBV) IgG к VCA (антитела класса IgG к капсидному антигену)</t>
  </si>
  <si>
    <t>Вирус Эпштейна-Барр (HSV 4, Epstein-Barr, EBV) IgG-EA (антитела к вирусу Эпштейна-Барр ранние белки IgG-EA)</t>
  </si>
  <si>
    <t>Вирус Эпштейна-Барр (HSV 4, Epstein-Barr, EBV) IgМ к VCA (антитела класса Ig M к капсидному антигену)</t>
  </si>
  <si>
    <t>Вирус Варицелла-Зостер (HSV 3, VZV) (антитела класса Ig G)</t>
  </si>
  <si>
    <t>Вирус Варицелла-Зостер (HSV 3, VZV) (антитела класса Ig M)</t>
  </si>
  <si>
    <t>Вирус Эпштейна-Барр (HSV 4, Epstein-Barr, EBV) IgG к  NA (антитела класса IgG к нуклеарному антигену) (титр)</t>
  </si>
  <si>
    <t>Вирус Эпштейна-Барр(HSV 4, Epstein-Barr, EBV) IgG к VCA (индекс авидности  IgG)</t>
  </si>
  <si>
    <t>UBC (антиген рака мочевого пузыря) (разовая моча)</t>
  </si>
  <si>
    <t>T-Uptake (тироксин связывающая способность сыворотки)</t>
  </si>
  <si>
    <t>Антитела к микросомальным антигенам (антитела к микросомальной фракции тироцитов, АТ-МАГ)</t>
  </si>
  <si>
    <t>Функция почек и надпочечников</t>
  </si>
  <si>
    <t>Ренин</t>
  </si>
  <si>
    <t>Эозинофильный катионный белок</t>
  </si>
  <si>
    <t>Паротит эпидемический</t>
  </si>
  <si>
    <t>Респираторно-синцитиальный вирус</t>
  </si>
  <si>
    <t>Эпштейна-Барр вирус</t>
  </si>
  <si>
    <t>Варицелла-Зостер вирус (ветряная оспа, опоясывающий лишай)</t>
  </si>
  <si>
    <t>Гепатит А</t>
  </si>
  <si>
    <t>Гепатит В</t>
  </si>
  <si>
    <t>Гепатит С</t>
  </si>
  <si>
    <t>Гепатит  D</t>
  </si>
  <si>
    <t>Гепатит G</t>
  </si>
  <si>
    <t>Гепатит ТТV</t>
  </si>
  <si>
    <t>Герпес</t>
  </si>
  <si>
    <t>Гарднерелла</t>
  </si>
  <si>
    <t>Листериоз</t>
  </si>
  <si>
    <t>Сальмонелла</t>
  </si>
  <si>
    <t>Аспергилиус</t>
  </si>
  <si>
    <t>Респираторно-синцитиальный вирус (антитела класса IgG)</t>
  </si>
  <si>
    <t>Респираторно-синцитиальный вирус (антитела класса IgМ)</t>
  </si>
  <si>
    <t>Папилломавирусная инфекция</t>
  </si>
  <si>
    <t xml:space="preserve">Антитела к тканевой трансглютаминазе класса IgА </t>
  </si>
  <si>
    <t xml:space="preserve">Антитела к глиадину класса IgG </t>
  </si>
  <si>
    <t xml:space="preserve">Антитела к глиадину класса IgА </t>
  </si>
  <si>
    <t xml:space="preserve">Антитела к тканевой трансглютаминазе класса IgG </t>
  </si>
  <si>
    <t xml:space="preserve">Антитела к эндомизию суммарные класса IgA и IgG </t>
  </si>
  <si>
    <t xml:space="preserve">Антитела к эндомизию класса IgA   </t>
  </si>
  <si>
    <t>Антитела к митохондриям (к антигену М2) класса IgG</t>
  </si>
  <si>
    <t>Антитела к двуспиральной (нативной) ДНК (ds ДНК) класса IgG</t>
  </si>
  <si>
    <t>Антитела к фосфолипидам класса IgG, IgM</t>
  </si>
  <si>
    <t>Антитела к микросомам печени и почки типа 1 (LKM-1), суммарно IgA, IgG, IgM</t>
  </si>
  <si>
    <t>Антитела к париетальным клеткам желудка (PCA), суммарно IgA, IgG, IgM</t>
  </si>
  <si>
    <t>Диагностика аутоиммунного заболевания кожи</t>
  </si>
  <si>
    <t>Посев на Ureaplasma urealyticum и Mycoplasma hominis с определением чувствительности к антибиотикам</t>
  </si>
  <si>
    <t>Посев на дифтерию без антибиотикочувствительности</t>
  </si>
  <si>
    <t>Посев на дифтерию и чувствительность к антибиотикам.</t>
  </si>
  <si>
    <t>Азооспермия</t>
  </si>
  <si>
    <r>
      <t>Анализ наличия полиморфизмов в генах F2, F5, F7, F13A1, FGB,                      Серпин1(PAI-1), ITGA2-a2 интегрин, ITGB3-b интегрин, MTHFR, MTRR, MTR</t>
    </r>
    <r>
      <rPr>
        <b/>
        <sz val="10"/>
        <rFont val="Arial"/>
        <family val="2"/>
        <charset val="204"/>
      </rPr>
      <t/>
    </r>
  </si>
  <si>
    <t>Исследование на простейшие, паразиты, грибы</t>
  </si>
  <si>
    <t>Хламидия pneumoniae  (определение ДНК)</t>
  </si>
  <si>
    <t>Микоплазма pneumoniae (определение ДНК)</t>
  </si>
  <si>
    <t>О015</t>
  </si>
  <si>
    <t>С342</t>
  </si>
  <si>
    <t>С343</t>
  </si>
  <si>
    <t>Дигидротестостерон</t>
  </si>
  <si>
    <t>С344</t>
  </si>
  <si>
    <t>П204</t>
  </si>
  <si>
    <t>Уреаплазма  sрp. (urealyticum/parvum)  (определение ДНК)</t>
  </si>
  <si>
    <t>Уреаплазма  sрp. (urealyticum/parvum) (определениеДНК)</t>
  </si>
  <si>
    <t>* Стоимость комплекса на 10-20% дешевле, чем анализы в отдельности</t>
  </si>
  <si>
    <t>С295</t>
  </si>
  <si>
    <t>С309</t>
  </si>
  <si>
    <t>С296</t>
  </si>
  <si>
    <t>Уреаплазма  urealyticum   (определение ДНК)</t>
  </si>
  <si>
    <t>П102</t>
  </si>
  <si>
    <t>П197</t>
  </si>
  <si>
    <t>П198</t>
  </si>
  <si>
    <t>Гормон жировой ткани</t>
  </si>
  <si>
    <t>Лептин</t>
  </si>
  <si>
    <t>Цитогенетические исследования</t>
  </si>
  <si>
    <t>Ц001</t>
  </si>
  <si>
    <t>С345</t>
  </si>
  <si>
    <t>С346</t>
  </si>
  <si>
    <t>О037</t>
  </si>
  <si>
    <t>П199</t>
  </si>
  <si>
    <t>С763</t>
  </si>
  <si>
    <t>Цитологическое исследование осадка мочи (окраска по Романовскому-Гимзе)</t>
  </si>
  <si>
    <t>Энтеровирус</t>
  </si>
  <si>
    <t>ВИЧ</t>
  </si>
  <si>
    <t>Норовирус (Norwalk virus) в кале. 
Качественное определение в кале методом иммунохроматографии.</t>
  </si>
  <si>
    <t>П231</t>
  </si>
  <si>
    <t>П232</t>
  </si>
  <si>
    <t>Аллерген малины, специфический IgE</t>
  </si>
  <si>
    <t>Аллерген арбуза, специфический IgE</t>
  </si>
  <si>
    <t>О043</t>
  </si>
  <si>
    <t>С784</t>
  </si>
  <si>
    <t>С332</t>
  </si>
  <si>
    <t>С301</t>
  </si>
  <si>
    <t>Антитела к ткани яичника, IgA, IgM, IgG 
(антиовариальные антитела)</t>
  </si>
  <si>
    <t>Ассоциированный с беременностью плазменный белок А
(РАРР-А)</t>
  </si>
  <si>
    <t>Хламидии родовые (антитела IgА к хламидия trachomatis, pneumoniae, psittaci)</t>
  </si>
  <si>
    <t>Копрограмма (цвет, запах, консистенция, форма, pH, слизь, кровь,  мышечные волокна, соединительная ткань, жир нейтральный, жирные кислоты, мыла, растительная клетчатка, крахмал, йодофильная флора, кристаллы, эпителий, лейкоциты, эритроциты, простейшие, яйца глист, дрожжевые грибы)</t>
  </si>
  <si>
    <t>С297</t>
  </si>
  <si>
    <t>Аллерген меда, специфический IgE</t>
  </si>
  <si>
    <t>С239</t>
  </si>
  <si>
    <t>С236</t>
  </si>
  <si>
    <t>С237</t>
  </si>
  <si>
    <t>С220</t>
  </si>
  <si>
    <t>С294</t>
  </si>
  <si>
    <t>полуколич</t>
  </si>
  <si>
    <t>С170</t>
  </si>
  <si>
    <t>С171</t>
  </si>
  <si>
    <t>С172</t>
  </si>
  <si>
    <t>С173</t>
  </si>
  <si>
    <t>С181</t>
  </si>
  <si>
    <t>Гормональные исследования</t>
  </si>
  <si>
    <t>Функция щитовидной железы</t>
  </si>
  <si>
    <t>А100</t>
  </si>
  <si>
    <t>Тиреотропный гормон (ТТГ)</t>
  </si>
  <si>
    <t>А196</t>
  </si>
  <si>
    <t>Тироксин общий  (Т4)</t>
  </si>
  <si>
    <t>А102</t>
  </si>
  <si>
    <t>Тироксин свободный  (сТ4)</t>
  </si>
  <si>
    <t>А197</t>
  </si>
  <si>
    <t>Трийодтиронин общий  (Т3)</t>
  </si>
  <si>
    <t>А101</t>
  </si>
  <si>
    <t>Трийодтиронин свободный  (сТ3)</t>
  </si>
  <si>
    <t>И105</t>
  </si>
  <si>
    <t>Тиреоглобулин</t>
  </si>
  <si>
    <t>Состояние репродуктивной системы и мониторинг беременности</t>
  </si>
  <si>
    <t>С191</t>
  </si>
  <si>
    <t xml:space="preserve">Антиспермальные антитела </t>
  </si>
  <si>
    <t>И152</t>
  </si>
  <si>
    <t>Анти-Мюллеров гормон</t>
  </si>
  <si>
    <t>А122</t>
  </si>
  <si>
    <t>Глобулин, связывающий половые гормоны (ГСПГ)</t>
  </si>
  <si>
    <t>С242</t>
  </si>
  <si>
    <t>Ингибин  В</t>
  </si>
  <si>
    <t>И125</t>
  </si>
  <si>
    <t>Лютеинизирующий гормон (ЛГ)</t>
  </si>
  <si>
    <t>С267</t>
  </si>
  <si>
    <t>Плацентарный лактоген</t>
  </si>
  <si>
    <t>количеств</t>
  </si>
  <si>
    <t>А198</t>
  </si>
  <si>
    <t>Прогестерон</t>
  </si>
  <si>
    <t>И126</t>
  </si>
  <si>
    <t>С312</t>
  </si>
  <si>
    <t>Свободный эстриол (Е 3)</t>
  </si>
  <si>
    <t>А121</t>
  </si>
  <si>
    <t>Тестостерон общий</t>
  </si>
  <si>
    <t>Тестостерон свободный</t>
  </si>
  <si>
    <t>С272</t>
  </si>
  <si>
    <t>Трофобластический бета – гликопротеин (ТБГ)</t>
  </si>
  <si>
    <t>А123</t>
  </si>
  <si>
    <t>А191</t>
  </si>
  <si>
    <t>Фолликулостимулирующий гормон (ФСГ)</t>
  </si>
  <si>
    <t>А114</t>
  </si>
  <si>
    <t>И127</t>
  </si>
  <si>
    <t>Эстрадиол (Е 2)</t>
  </si>
  <si>
    <t>С311</t>
  </si>
  <si>
    <t>17 -ОН - Прогестерон</t>
  </si>
  <si>
    <t>С326</t>
  </si>
  <si>
    <t xml:space="preserve">Альдостерон </t>
  </si>
  <si>
    <t>И135</t>
  </si>
  <si>
    <t>Адренокортикотропный гормон (АКТГ)</t>
  </si>
  <si>
    <t>Андростендион</t>
  </si>
  <si>
    <t>И133</t>
  </si>
  <si>
    <t>Эндокринная функция поджелудочной железы</t>
  </si>
  <si>
    <t>И131</t>
  </si>
  <si>
    <t>Инсулин</t>
  </si>
  <si>
    <t>С - пептид</t>
  </si>
  <si>
    <t>Эритропоэтин</t>
  </si>
  <si>
    <t>Костный метаболизм</t>
  </si>
  <si>
    <t>И144</t>
  </si>
  <si>
    <t>Паратиреоидный гормон (ПТГ)</t>
  </si>
  <si>
    <t>Гормоны роста</t>
  </si>
  <si>
    <t>Соматотропный гормон (СТГ)</t>
  </si>
  <si>
    <t>Инсулин-подобный фактор роста I (ИПФР I)</t>
  </si>
  <si>
    <t>Диагностика инфекционных заболеваний</t>
  </si>
  <si>
    <t>Вирусные инфекции</t>
  </si>
  <si>
    <t>Антиген и антитела к ВИЧ ½</t>
  </si>
  <si>
    <t>П160</t>
  </si>
  <si>
    <t>Аденовирус (Adenovirus) (определение ДНК)</t>
  </si>
  <si>
    <t>Энтеровирус (Enterovirus) (определение ДНК)</t>
  </si>
  <si>
    <t>П196</t>
  </si>
  <si>
    <t>И122</t>
  </si>
  <si>
    <t>И140</t>
  </si>
  <si>
    <t xml:space="preserve">А134    </t>
  </si>
  <si>
    <t>Вирус гепатита  А  (антитела IgG)</t>
  </si>
  <si>
    <t>А135</t>
  </si>
  <si>
    <t>Вирус гепатита  А  (антитела IgМ)</t>
  </si>
  <si>
    <t>П157</t>
  </si>
  <si>
    <t>Вирусный гепатит А (HAV) (определение РНК)</t>
  </si>
  <si>
    <t>Скрининг гепатита В (HBs антиген)</t>
  </si>
  <si>
    <t>HBs антиген количественный</t>
  </si>
  <si>
    <t>Маркеры гепатита В (HBeAg, anti-HBcoreM, anti-HBe, Anti-HBcore)</t>
  </si>
  <si>
    <t>Антитела к HBs антигену (Анти – HBs)</t>
  </si>
  <si>
    <t>П127</t>
  </si>
  <si>
    <t>Вирус гепатита В (HBV) (определение ДНК)</t>
  </si>
  <si>
    <t>П133</t>
  </si>
  <si>
    <t>Вирус гепатита В (HBV) (определение ДНК) (вирусная нагрузка)</t>
  </si>
  <si>
    <t>Скрининг гепатита С (анти-HCV)</t>
  </si>
  <si>
    <t>С282</t>
  </si>
  <si>
    <t>С329</t>
  </si>
  <si>
    <t>Гепатит С (индекс авидности IgG)</t>
  </si>
  <si>
    <t>П109</t>
  </si>
  <si>
    <t>Вирус гепатита С (HCV) (определение РНК)</t>
  </si>
  <si>
    <t>П126</t>
  </si>
  <si>
    <t>Генотипирование вируса гепатита С  (HCV) (определение РНК) (генотипы 1а, 1в, 2, 3а/3б)</t>
  </si>
  <si>
    <t>П125</t>
  </si>
  <si>
    <t>Вирус гепатита С (HCV) (определение РНК) (вирусная нагрузка)</t>
  </si>
  <si>
    <t>Жидкостная цитология мочи (окраска по Папаниколау)</t>
  </si>
  <si>
    <t>Протеин С</t>
  </si>
  <si>
    <t>С280</t>
  </si>
  <si>
    <t>Вирусный гепатит D (антитела IgG)</t>
  </si>
  <si>
    <t>С281</t>
  </si>
  <si>
    <t>Вирусный гепатит D (антитела IgM)</t>
  </si>
  <si>
    <t>П128</t>
  </si>
  <si>
    <t>Вирусный гепатит D (HDV) (определение РНК)</t>
  </si>
  <si>
    <t>П155</t>
  </si>
  <si>
    <t>П129</t>
  </si>
  <si>
    <t>Вирусный гепатит G (HGV) (определение РНК)</t>
  </si>
  <si>
    <t>П156</t>
  </si>
  <si>
    <t>П132</t>
  </si>
  <si>
    <t>Вирусный гепатит TTV (определение ДНК)</t>
  </si>
  <si>
    <t>П167</t>
  </si>
  <si>
    <t>Вирусный гепатит TTV (определение ДНК) (вирусная нагрузка)</t>
  </si>
  <si>
    <t>Краснуха</t>
  </si>
  <si>
    <t>А124</t>
  </si>
  <si>
    <t xml:space="preserve">Краснуха (Rubella) (антитела класса IgG) </t>
  </si>
  <si>
    <t>А130</t>
  </si>
  <si>
    <t xml:space="preserve">Краснуха (Rubella) (антитела класса IgМ) </t>
  </si>
  <si>
    <t>качеств</t>
  </si>
  <si>
    <t>С140</t>
  </si>
  <si>
    <t>Краснуха (Rubella) (индекс авидности IgG)</t>
  </si>
  <si>
    <t>Цитомегаловирус</t>
  </si>
  <si>
    <t>А112</t>
  </si>
  <si>
    <t xml:space="preserve">Цитомегаловирус (CMV)(антитела класса IgG) </t>
  </si>
  <si>
    <t>А128</t>
  </si>
  <si>
    <t xml:space="preserve">Цитомегаловирус (CMV) (антитела класса IgМ) </t>
  </si>
  <si>
    <t>С142</t>
  </si>
  <si>
    <t>Цитомегаловирус (CMV) (индекс авидности IgG)</t>
  </si>
  <si>
    <t>П103</t>
  </si>
  <si>
    <t>Цитомегаловирус (Cytomegalovirus, CMV) (определение ДНК)</t>
  </si>
  <si>
    <t>С109</t>
  </si>
  <si>
    <t>С141</t>
  </si>
  <si>
    <t>П111</t>
  </si>
  <si>
    <t>С318</t>
  </si>
  <si>
    <t>П174</t>
  </si>
  <si>
    <t>С126</t>
  </si>
  <si>
    <t>С127</t>
  </si>
  <si>
    <t>С195</t>
  </si>
  <si>
    <t>П110</t>
  </si>
  <si>
    <t>Клещевой энцефалит</t>
  </si>
  <si>
    <t>С330</t>
  </si>
  <si>
    <t>Вирус клещевого энцефалита (антитела класса IgG)</t>
  </si>
  <si>
    <t>С331</t>
  </si>
  <si>
    <t>Вирус клещевого энцефалита (антитела класса IgМ)</t>
  </si>
  <si>
    <t>Корь</t>
  </si>
  <si>
    <t>С316</t>
  </si>
  <si>
    <t>Вирус кори (антитела класса IgG)</t>
  </si>
  <si>
    <t>Вирус кори (антитела класса IgМ)</t>
  </si>
  <si>
    <t>Бактериальные инфекции</t>
  </si>
  <si>
    <t>П106</t>
  </si>
  <si>
    <t>Гарднерелла (Gardnerella vaginalis) (определение ДНК)</t>
  </si>
  <si>
    <t>С323</t>
  </si>
  <si>
    <t>Антитела к межклеточному веществу и базальной мембране кожи</t>
  </si>
  <si>
    <t>Заболевание сердца</t>
  </si>
  <si>
    <t>Антитела к сердечной мускулатуре класса IgG</t>
  </si>
  <si>
    <t>Антитела к гладкой мускулатуре (SMA)</t>
  </si>
  <si>
    <t>Антитела к кератину класса IgG</t>
  </si>
  <si>
    <t>Брюшной тиф (РПГА тест на антитела к Salmonella typhi)</t>
  </si>
  <si>
    <t>П161</t>
  </si>
  <si>
    <t>Листериоз (Listeria monocytogenes) (определение ДНК)</t>
  </si>
  <si>
    <t>Гонорея</t>
  </si>
  <si>
    <t>Вирус простого герпеса I, II типов  
(Н simplex ½, Herpes I/II, HSV 1 и 2) (антитела класса IgG)</t>
  </si>
  <si>
    <t xml:space="preserve">Вирус простого герпеса I, II типов  
(Н simplex ½, Herpes I/II, HSV 1 и 2) (антитела класса IgМ) </t>
  </si>
  <si>
    <t>Вирус простого герпеса I, II типов  
(Н simplex ½, Herpes I/II, HSV 1 и 2) (индекс авидности IgG )</t>
  </si>
  <si>
    <t>Вирус простого герпеса 1,2 
(Н simplex ½, Herpes I/II, HSV 1 и 2) (определение ДНК)</t>
  </si>
  <si>
    <t>Фосфатаза щелочная</t>
  </si>
  <si>
    <t>Аллерген клеща домашней пыли Derm.pteronyssinus,специфический IgE</t>
  </si>
  <si>
    <t>Содержание углеводов</t>
  </si>
  <si>
    <t>О041</t>
  </si>
  <si>
    <t>О042</t>
  </si>
  <si>
    <t>О054</t>
  </si>
  <si>
    <t>О055</t>
  </si>
  <si>
    <t>О056</t>
  </si>
  <si>
    <t>О057</t>
  </si>
  <si>
    <t>О058</t>
  </si>
  <si>
    <t>О059</t>
  </si>
  <si>
    <t>Туберкулез</t>
  </si>
  <si>
    <t>С251</t>
  </si>
  <si>
    <t>П152</t>
  </si>
  <si>
    <t>Биоценоз урогенитального тракта</t>
  </si>
  <si>
    <t>П170</t>
  </si>
  <si>
    <t>П194</t>
  </si>
  <si>
    <t>Сифилис</t>
  </si>
  <si>
    <t>С117</t>
  </si>
  <si>
    <t>С118</t>
  </si>
  <si>
    <t>С129</t>
  </si>
  <si>
    <t>С273</t>
  </si>
  <si>
    <t>Боррелиоз (болезнь Лайма)</t>
  </si>
  <si>
    <t>С327</t>
  </si>
  <si>
    <t>Боррелиоз (Borrelia burgdorferi) (антитела класса IgG)</t>
  </si>
  <si>
    <t>С328</t>
  </si>
  <si>
    <t>Боррелиоз (Borrelia burgdorferi) (антитела класса IgМ)</t>
  </si>
  <si>
    <t>Иерсиниоз</t>
  </si>
  <si>
    <t>С155</t>
  </si>
  <si>
    <t xml:space="preserve">Иерсиниоз (антитела класса IgG) </t>
  </si>
  <si>
    <t>С156</t>
  </si>
  <si>
    <t xml:space="preserve">Иерсиниоз (антитела класса IgА) </t>
  </si>
  <si>
    <t>Хеликобактерная инфекция</t>
  </si>
  <si>
    <t>Хеликобактер пилори (Helicobacter pylori) (антитела класса IgG)</t>
  </si>
  <si>
    <t>Хеликобактер пилори (Helicobacter pylori) (антитела класса IgА)</t>
  </si>
  <si>
    <t>С157</t>
  </si>
  <si>
    <t>Хеликобактер пилори (Helicobacter pylori) ( суммарные антитела классов IgM, IgA, IgG к белку Сag A)</t>
  </si>
  <si>
    <t>П184</t>
  </si>
  <si>
    <t>Хеликобактер пилори (Helicobacter pylori) в кале (определение ДНК) (прямой тест)</t>
  </si>
  <si>
    <t>С192</t>
  </si>
  <si>
    <t>С119</t>
  </si>
  <si>
    <t>С111</t>
  </si>
  <si>
    <t>Хламидия  trachomatis (антитела класса IgА)</t>
  </si>
  <si>
    <t>П100</t>
  </si>
  <si>
    <t>О001</t>
  </si>
  <si>
    <t>Аллерген форели, специфический IgE</t>
  </si>
  <si>
    <t>Аллерген акации, специфический IgE</t>
  </si>
  <si>
    <t>Аллерген липы, специфический IgE</t>
  </si>
  <si>
    <t>Аллерген ромашки, специфический IgE</t>
  </si>
  <si>
    <t>Аллерген тимофеевки луговой, специфический IgE</t>
  </si>
  <si>
    <t>Аллерген скумбрии, специфический IgE</t>
  </si>
  <si>
    <t>Аллерген кальмара, специфический IgE</t>
  </si>
  <si>
    <t>Аллерген баклажана, специфический IgE</t>
  </si>
  <si>
    <t>Аллерген укропа, специфический IgE</t>
  </si>
  <si>
    <t>Аллерген лаврового листа, специфический IgE</t>
  </si>
  <si>
    <t>Аллерген свеклы, специфический IgE</t>
  </si>
  <si>
    <t>Аллерген судака, специфический IgE</t>
  </si>
  <si>
    <t>Аллерген томата, специфический IgE</t>
  </si>
  <si>
    <t>Аллерген картофеля, специфический IgE</t>
  </si>
  <si>
    <t>Аллерген кукурузы, специфический IgE</t>
  </si>
  <si>
    <t>Аллерген дыни, специфический IgE</t>
  </si>
  <si>
    <t>Аллерген ананаса, специфический IgE</t>
  </si>
  <si>
    <t>Аллерген кофе, специфический IgE</t>
  </si>
  <si>
    <t>Аллерген мяса кролика, специфический IgE</t>
  </si>
  <si>
    <t>Аллерген печени говяжьей, специфический IgE</t>
  </si>
  <si>
    <t>Хламидия trachomatis  (определение ДНК)</t>
  </si>
  <si>
    <t>С147</t>
  </si>
  <si>
    <t>Хламидия pneumoniae  (антитела класса IgG )</t>
  </si>
  <si>
    <t>С149</t>
  </si>
  <si>
    <t>Хламидия pneumoniae  (антитела класса IgА)</t>
  </si>
  <si>
    <t>С148</t>
  </si>
  <si>
    <t>Хламидия pneumoniae  (антитела класса IgМ)</t>
  </si>
  <si>
    <t>П112</t>
  </si>
  <si>
    <t>Хламидия psittaci (определение ДНК)</t>
  </si>
  <si>
    <t>С248</t>
  </si>
  <si>
    <t>Хламидии родовые (антитела IgG к хламидия trachomatis, pneumoniae, psittaci)</t>
  </si>
  <si>
    <t>С249</t>
  </si>
  <si>
    <t>С112</t>
  </si>
  <si>
    <t>Микоплазма hominis  (антитела  класса IgG )</t>
  </si>
  <si>
    <t>С113</t>
  </si>
  <si>
    <t>Т190</t>
  </si>
  <si>
    <t>Т191</t>
  </si>
  <si>
    <t>Т192</t>
  </si>
  <si>
    <t>Т193</t>
  </si>
  <si>
    <t>Т194</t>
  </si>
  <si>
    <t>Т195</t>
  </si>
  <si>
    <t>Т196</t>
  </si>
  <si>
    <t>Т197</t>
  </si>
  <si>
    <t>Т198</t>
  </si>
  <si>
    <t>Т199</t>
  </si>
  <si>
    <t>Т200</t>
  </si>
  <si>
    <t>Т230</t>
  </si>
  <si>
    <t>Т235</t>
  </si>
  <si>
    <t>Т236</t>
  </si>
  <si>
    <t>Т237</t>
  </si>
  <si>
    <t>Т096</t>
  </si>
  <si>
    <t>О076</t>
  </si>
  <si>
    <t>О077</t>
  </si>
  <si>
    <t>О078</t>
  </si>
  <si>
    <t>О079</t>
  </si>
  <si>
    <t>О080</t>
  </si>
  <si>
    <t>О081</t>
  </si>
  <si>
    <t>О082</t>
  </si>
  <si>
    <t>Сифилис (Treponema pallidum) (определение ДНК)</t>
  </si>
  <si>
    <t>Микоплазменная инфекция</t>
  </si>
  <si>
    <t>Хламидийная инфекция</t>
  </si>
  <si>
    <t>П117</t>
  </si>
  <si>
    <t>Туберкулез (Mycobacterium tuberculosis/bovis/bovis BCG/microti/africanum) (определение ДНК)</t>
  </si>
  <si>
    <t>ОТДЕЛЯЕМОЕ НОСА</t>
  </si>
  <si>
    <t>О024</t>
  </si>
  <si>
    <t>О072</t>
  </si>
  <si>
    <t>О028</t>
  </si>
  <si>
    <t>О039</t>
  </si>
  <si>
    <t>О083</t>
  </si>
  <si>
    <t>О084</t>
  </si>
  <si>
    <t>О085</t>
  </si>
  <si>
    <t>О025</t>
  </si>
  <si>
    <t>О073</t>
  </si>
  <si>
    <t>О086</t>
  </si>
  <si>
    <t>О027</t>
  </si>
  <si>
    <t>О038</t>
  </si>
  <si>
    <t>С246</t>
  </si>
  <si>
    <t>ЭКСУДАТ / ПУНКТАТ</t>
  </si>
  <si>
    <t>Г138</t>
  </si>
  <si>
    <t>Лекарственный мониторинг</t>
  </si>
  <si>
    <t>Фенобарбитал (Люминал, Phenobarbitalum)</t>
  </si>
  <si>
    <t>Фенитоин (Дифенин, Дилантин, Phenytoin)</t>
  </si>
  <si>
    <t>Вальпроевая кислота (Acidum valproicum)</t>
  </si>
  <si>
    <t>Карбамазепин (Финлепсин, Тегретол, Сarbamazepine) (Amiodarone (Cordarex))</t>
  </si>
  <si>
    <t>Циклоспорин (Cyclosporine, Cyclosporine A, Sandimmune)</t>
  </si>
  <si>
    <t>Такролимус (FK506, Адваграф, Програф, Протопик, Такросел)</t>
  </si>
  <si>
    <t>Ламотриджин, лекарственный мониторинг (Lamotrigine)</t>
  </si>
  <si>
    <t>Леветирацетам (Levetiracetam, Keppra®)</t>
  </si>
  <si>
    <t>Антитела к бета-2-гликопротеину 1, суммарные IgG, IgA, IgM
(антитела к β2 -гликопротеину 1,anti- β2-GР1, total)</t>
  </si>
  <si>
    <t>Т093</t>
  </si>
  <si>
    <t>Т092</t>
  </si>
  <si>
    <t>Т094</t>
  </si>
  <si>
    <t>Т089</t>
  </si>
  <si>
    <t>Т088</t>
  </si>
  <si>
    <t>Т087</t>
  </si>
  <si>
    <t>Т090</t>
  </si>
  <si>
    <t>Т091</t>
  </si>
  <si>
    <t>С164</t>
  </si>
  <si>
    <t>П104</t>
  </si>
  <si>
    <t>Нейссерия гонореи (Neisseria gonorrhoeae) (определение ДНК)</t>
  </si>
  <si>
    <t>Т086</t>
  </si>
  <si>
    <t>Аллерген яблока, специфический IgE</t>
  </si>
  <si>
    <t>Аллерген груши, специфический IgE</t>
  </si>
  <si>
    <t>Аллерген сливы, специфический IgE</t>
  </si>
  <si>
    <t>Аллерген персика, специфический IgE</t>
  </si>
  <si>
    <t>Аллерген риса, специфический IgE</t>
  </si>
  <si>
    <t>С367</t>
  </si>
  <si>
    <t>С368</t>
  </si>
  <si>
    <t>К114</t>
  </si>
  <si>
    <t>К115</t>
  </si>
  <si>
    <t>Протеин S свободный</t>
  </si>
  <si>
    <t>Фактор Виллебранда - определение антигена</t>
  </si>
  <si>
    <t>К116</t>
  </si>
  <si>
    <t>Прокальцитонин</t>
  </si>
  <si>
    <t>Опухолевая М2-пируваткиназа в кале</t>
  </si>
  <si>
    <t>И156</t>
  </si>
  <si>
    <t>Исследование кала на скрытую кровь - определение гемоглобина и  гемоглобин/ гаптоглобинового комплекса (тест "Colon View")</t>
  </si>
  <si>
    <t>Лямблии (определение антигена в кале)</t>
  </si>
  <si>
    <t>С099</t>
  </si>
  <si>
    <t>С182</t>
  </si>
  <si>
    <t>Гепатит  Е</t>
  </si>
  <si>
    <t>С097</t>
  </si>
  <si>
    <t>Вирусный гепатит Е (антитела IgG)</t>
  </si>
  <si>
    <t>С096</t>
  </si>
  <si>
    <t>Вирусный гепатит Е (антитела IgM)</t>
  </si>
  <si>
    <t>ОРВИ</t>
  </si>
  <si>
    <t>П090</t>
  </si>
  <si>
    <t>С098</t>
  </si>
  <si>
    <t>Хламидия  trachomatis (антитела класса IgМ)</t>
  </si>
  <si>
    <t>Ц014</t>
  </si>
  <si>
    <t>Ц010</t>
  </si>
  <si>
    <t>Ц013</t>
  </si>
  <si>
    <t>Ц017</t>
  </si>
  <si>
    <t>Ц020</t>
  </si>
  <si>
    <t>Флороценоз - Кандидоз (C. аlbicans, C. glabrata, C. krusei, C. parapsilosis, C. Tropicalis) (определение ДНК)</t>
  </si>
  <si>
    <t>Цена, руб.</t>
  </si>
  <si>
    <t>среда(утро)</t>
  </si>
  <si>
    <t>вторник(утро) пятница(утро)</t>
  </si>
  <si>
    <t xml:space="preserve">вторник(утро) </t>
  </si>
  <si>
    <t>вторник(утро)</t>
  </si>
  <si>
    <t>вторник(вечер)</t>
  </si>
  <si>
    <t>пятница(утро)</t>
  </si>
  <si>
    <t>четверг(утро)</t>
  </si>
  <si>
    <t>понедельник     (утро)                   четверг (утро)</t>
  </si>
  <si>
    <t>среда(утро) пятница(утро)</t>
  </si>
  <si>
    <t>вторник(утро) четверг(утро)</t>
  </si>
  <si>
    <t>вторник (утро)</t>
  </si>
  <si>
    <t>О035</t>
  </si>
  <si>
    <t>Посев на золотистый стафилококк без антибиотикочувствительности</t>
  </si>
  <si>
    <t>О036</t>
  </si>
  <si>
    <t>О002</t>
  </si>
  <si>
    <t>О018,О060</t>
  </si>
  <si>
    <t>К166</t>
  </si>
  <si>
    <t>С278</t>
  </si>
  <si>
    <t xml:space="preserve">Микоплазма pneumoniae  (антитела  класса IgМ) </t>
  </si>
  <si>
    <t>Васкулиты и поражения почек</t>
  </si>
  <si>
    <t>Т077</t>
  </si>
  <si>
    <t xml:space="preserve">Антитела класса IgG к базальной мембране клубочков почек </t>
  </si>
  <si>
    <t>Гематология</t>
  </si>
  <si>
    <t>Т303</t>
  </si>
  <si>
    <t>Т304</t>
  </si>
  <si>
    <t>Т305</t>
  </si>
  <si>
    <t>Т306</t>
  </si>
  <si>
    <t>Т307</t>
  </si>
  <si>
    <t>Т308</t>
  </si>
  <si>
    <t>Т309</t>
  </si>
  <si>
    <t>Т310</t>
  </si>
  <si>
    <t>Т311</t>
  </si>
  <si>
    <t>Т312</t>
  </si>
  <si>
    <t>Т313</t>
  </si>
  <si>
    <t>Т314</t>
  </si>
  <si>
    <t>Т315</t>
  </si>
  <si>
    <t>Т316</t>
  </si>
  <si>
    <t>Т317</t>
  </si>
  <si>
    <t>Т318</t>
  </si>
  <si>
    <t>Т319</t>
  </si>
  <si>
    <t>Т320</t>
  </si>
  <si>
    <t>Т321</t>
  </si>
  <si>
    <t>Т322</t>
  </si>
  <si>
    <t>Т323</t>
  </si>
  <si>
    <t>Моногенные заболевания</t>
  </si>
  <si>
    <t xml:space="preserve">Абиотрофия сетчатки </t>
  </si>
  <si>
    <t>Т453</t>
  </si>
  <si>
    <t>Адреногенитальный синдром</t>
  </si>
  <si>
    <t>Т301</t>
  </si>
  <si>
    <t>Т302</t>
  </si>
  <si>
    <t>Акродерматит энтеропатический</t>
  </si>
  <si>
    <t>Альбинизм</t>
  </si>
  <si>
    <t>Т456</t>
  </si>
  <si>
    <t>Анемия Даймонда-Блекфена</t>
  </si>
  <si>
    <t>Т458</t>
  </si>
  <si>
    <t>Атрофия зрительного нерва</t>
  </si>
  <si>
    <t>Т462</t>
  </si>
  <si>
    <t>Т463</t>
  </si>
  <si>
    <t>Аутоиммунный лимфопролиферативный синдром</t>
  </si>
  <si>
    <t>Т464</t>
  </si>
  <si>
    <t>Боковой амиотрофический склероз</t>
  </si>
  <si>
    <t>Т465</t>
  </si>
  <si>
    <t>Т466</t>
  </si>
  <si>
    <t>Т467</t>
  </si>
  <si>
    <t>Велокардиофациальный синдром</t>
  </si>
  <si>
    <t>Т468</t>
  </si>
  <si>
    <t>Вильсона-Коновалова болезнь</t>
  </si>
  <si>
    <t>Т470</t>
  </si>
  <si>
    <t>Гемофилия</t>
  </si>
  <si>
    <t>Т353</t>
  </si>
  <si>
    <t>Т359</t>
  </si>
  <si>
    <t>Гиперкератоз</t>
  </si>
  <si>
    <t>Т471</t>
  </si>
  <si>
    <t>Т472</t>
  </si>
  <si>
    <t>Т473</t>
  </si>
  <si>
    <t>Т474</t>
  </si>
  <si>
    <t>Гипертрофическая кардиомиопатия</t>
  </si>
  <si>
    <t>Т475</t>
  </si>
  <si>
    <t>Т476</t>
  </si>
  <si>
    <t>Дефицит гормона гипофиза, комбинированный</t>
  </si>
  <si>
    <t>Т477</t>
  </si>
  <si>
    <t>Марфана синдром</t>
  </si>
  <si>
    <t>Т481</t>
  </si>
  <si>
    <t>Т482</t>
  </si>
  <si>
    <t>Миотония Томсена/Беккера</t>
  </si>
  <si>
    <t>Миотоническая дистрофия</t>
  </si>
  <si>
    <t>Т484</t>
  </si>
  <si>
    <t>Т485</t>
  </si>
  <si>
    <t>Т330</t>
  </si>
  <si>
    <t>Мышечная дистрофия</t>
  </si>
  <si>
    <t>Т486</t>
  </si>
  <si>
    <t>Т487</t>
  </si>
  <si>
    <t>Т488</t>
  </si>
  <si>
    <t>Нефротический синдром</t>
  </si>
  <si>
    <t>Т493</t>
  </si>
  <si>
    <t>Т494</t>
  </si>
  <si>
    <t>Нунан синдром</t>
  </si>
  <si>
    <t>Т495</t>
  </si>
  <si>
    <t>Остеопороз рецессивный (мраморная болезнь костей)</t>
  </si>
  <si>
    <t>Т496</t>
  </si>
  <si>
    <t>Т497</t>
  </si>
  <si>
    <t>Псевдоахондроплазия</t>
  </si>
  <si>
    <t>Т504</t>
  </si>
  <si>
    <t>Ретта синдром</t>
  </si>
  <si>
    <t>Т505</t>
  </si>
  <si>
    <t>Туберозный склероз</t>
  </si>
  <si>
    <t>Т506</t>
  </si>
  <si>
    <t>Фенилкетонурия</t>
  </si>
  <si>
    <t>Т507</t>
  </si>
  <si>
    <t>Хорея Гентингтона (Болезнь Хангтингтона)</t>
  </si>
  <si>
    <t>Т511</t>
  </si>
  <si>
    <t>Цистиноз нефропатический</t>
  </si>
  <si>
    <t>Т512</t>
  </si>
  <si>
    <t>Эктопия хрусталика</t>
  </si>
  <si>
    <t>Т513</t>
  </si>
  <si>
    <t>Эритрокератодермия</t>
  </si>
  <si>
    <t>Т514</t>
  </si>
  <si>
    <t>Т515</t>
  </si>
  <si>
    <t>Эритроцитоз рецессивный</t>
  </si>
  <si>
    <t>Т516</t>
  </si>
  <si>
    <t>Болезни желудочно-кишечного тракта</t>
  </si>
  <si>
    <t>Т450</t>
  </si>
  <si>
    <t>Т449</t>
  </si>
  <si>
    <t>Т263</t>
  </si>
  <si>
    <t>Т268</t>
  </si>
  <si>
    <t>Т267</t>
  </si>
  <si>
    <t>Т272</t>
  </si>
  <si>
    <t>Носительство частых мутаций для наиболее частых наследственных заболеваний</t>
  </si>
  <si>
    <t>Т280</t>
  </si>
  <si>
    <t>Полиморфизмы в генах системы детоксикации ксенобиотиков, влияющих на скорость метаболизма лекарственных средств</t>
  </si>
  <si>
    <t>Т283</t>
  </si>
  <si>
    <t>Т284</t>
  </si>
  <si>
    <t>Т285</t>
  </si>
  <si>
    <t>Т324</t>
  </si>
  <si>
    <t>Т325</t>
  </si>
  <si>
    <t>Т282</t>
  </si>
  <si>
    <t>Т286</t>
  </si>
  <si>
    <t>Т288</t>
  </si>
  <si>
    <t>Т289</t>
  </si>
  <si>
    <t>Т290</t>
  </si>
  <si>
    <t>Т291</t>
  </si>
  <si>
    <t>Т293</t>
  </si>
  <si>
    <t>Генетические факторы мужского бесплодия</t>
  </si>
  <si>
    <t>Т299</t>
  </si>
  <si>
    <t>Т335</t>
  </si>
  <si>
    <t>вторник (утро) четверг(утро)</t>
  </si>
  <si>
    <t>пятница (утро)</t>
  </si>
  <si>
    <t>Глюкозо-толерантный тест (ГТТ) с определением глюкозы натощак и через 2 часа после нагрузки</t>
  </si>
  <si>
    <t>Глюкозо-толерантный тест (ГТТ) с определением глюкозы натощак, через 1 час  и через 2 часа после нагрузки</t>
  </si>
  <si>
    <t>Альбумин-креатининовое соотношение (разовая моча)</t>
  </si>
  <si>
    <t>П088</t>
  </si>
  <si>
    <t>П089</t>
  </si>
  <si>
    <t>Т454</t>
  </si>
  <si>
    <t>Т339</t>
  </si>
  <si>
    <t>Т483</t>
  </si>
  <si>
    <t>Кальций-креатининовое соотношение (разовая моча)</t>
  </si>
  <si>
    <t>Аллерген глютена, специфический IgE</t>
  </si>
  <si>
    <t>Аллерген хурмы, специфический IgE</t>
  </si>
  <si>
    <t>Исполнитель</t>
  </si>
  <si>
    <t>______________________</t>
  </si>
  <si>
    <t>Б099</t>
  </si>
  <si>
    <t>С089</t>
  </si>
  <si>
    <t>Фенотипирование - определения антигенов эритроцитов системы резус Rh (D, C, E, c, e, Cw) и системы Kell (К)</t>
  </si>
  <si>
    <t>вторник(утро)   четверг(утро)</t>
  </si>
  <si>
    <t>П087</t>
  </si>
  <si>
    <t>Вирусы гриппа А (в т.ч. H1N1, H3N2) и В (Influenza A&amp;B virus) (определение РНК)</t>
  </si>
  <si>
    <t>Бруцеллез</t>
  </si>
  <si>
    <t>С094</t>
  </si>
  <si>
    <t>Бруцеллез (Brucella melitensis/Brucella abortus/Brucella suis) (суммарные антитела классов IgA, IgM, IgG)</t>
  </si>
  <si>
    <t>Дифтерия</t>
  </si>
  <si>
    <t>С091</t>
  </si>
  <si>
    <t>С092</t>
  </si>
  <si>
    <t>Цистицеркоз (свиной цепень, Taenia solium) (антитела класса IgG)</t>
  </si>
  <si>
    <t>П201</t>
  </si>
  <si>
    <t xml:space="preserve">Поиск микроделеций локуса AZF (sY86, sY84, sY615, sY127, sY134, sY142, sY1197, sY254, sY255,  sY1291, sY1125,  sY1206, sY242) Y - хромосомы </t>
  </si>
  <si>
    <t>Антитела к антигенам эритроцитов (систем Rh-hr, Kell, Duffy, Kidd, Lewis,P, MNS Luth., Xg) (скрининг)</t>
  </si>
  <si>
    <t>С093</t>
  </si>
  <si>
    <t>С304</t>
  </si>
  <si>
    <t>Аллерген помета волнистого попугайчика, специфический IgE</t>
  </si>
  <si>
    <t>С013</t>
  </si>
  <si>
    <t>Антитела класса IgG к миелопероксидазе (АНЦА - IgG МРО)</t>
  </si>
  <si>
    <t>С014</t>
  </si>
  <si>
    <t>Антитела класса IgG к протеиназе 3 (АНЦА - IgG PR3 )</t>
  </si>
  <si>
    <t>К108</t>
  </si>
  <si>
    <t>Хламидия trachomatis  (антитела класса IgG МОМР + pgp3)</t>
  </si>
  <si>
    <t>А099</t>
  </si>
  <si>
    <t xml:space="preserve">АЧТВ </t>
  </si>
  <si>
    <t>Д-димер (высокочувствительный)</t>
  </si>
  <si>
    <t>Бета- 2- Микроглобулин</t>
  </si>
  <si>
    <t>Антитела к фосфатидил-серину, IgG, IgM</t>
  </si>
  <si>
    <t>И099</t>
  </si>
  <si>
    <t>Кортизол в слюне</t>
  </si>
  <si>
    <t>Макропролактин (в т.ч.пролактин)</t>
  </si>
  <si>
    <t>Кортизол в сыворотке крови</t>
  </si>
  <si>
    <t>Аденовирус, Ротавирус, Норовирус, Астровирус</t>
  </si>
  <si>
    <t>П086</t>
  </si>
  <si>
    <t>Ротавирус группы А (Rotanirus A), Норовирус 2 генотипа (Norovirus 2 генотип), Астровирус (Astrovirus)) (определение и дифференциация РНК)</t>
  </si>
  <si>
    <t>П149</t>
  </si>
  <si>
    <t>К163</t>
  </si>
  <si>
    <t>Исследование кала на гемоглобин</t>
  </si>
  <si>
    <t>Т349</t>
  </si>
  <si>
    <t>Т492</t>
  </si>
  <si>
    <t>суббота(утро)</t>
  </si>
  <si>
    <t>вторник(утро) четверг(утро) суббота(утро)</t>
  </si>
  <si>
    <t>вторник(вечер) четверг(вечер)</t>
  </si>
  <si>
    <t>Профильные исследования *</t>
  </si>
  <si>
    <t xml:space="preserve">        Заказчик</t>
  </si>
  <si>
    <t>К099</t>
  </si>
  <si>
    <t>Исследование состава камня методом инфракрасной спектрометрии</t>
  </si>
  <si>
    <t>О100</t>
  </si>
  <si>
    <t>О101</t>
  </si>
  <si>
    <t>О102</t>
  </si>
  <si>
    <t>О103</t>
  </si>
  <si>
    <t>О104</t>
  </si>
  <si>
    <t>О105</t>
  </si>
  <si>
    <t>О106</t>
  </si>
  <si>
    <t>О107</t>
  </si>
  <si>
    <t>О108</t>
  </si>
  <si>
    <t>П209</t>
  </si>
  <si>
    <t>Коэффициент риска развития сердечно-сосудистых заболеваний (расчетный показатель: АроА1/АроВ)</t>
  </si>
  <si>
    <t>Коэффициент атерогенности (расчетный показатель: общий холестерин, ЛПВП)</t>
  </si>
  <si>
    <t>Диагностика алкогольной зависимости</t>
  </si>
  <si>
    <t>Б217</t>
  </si>
  <si>
    <t>Карбогидрат-дефицитный трансферрин (углевододефицитный трансферрин, УДТ, CDT)</t>
  </si>
  <si>
    <t>Риск рака яичников в пременопаузе/постменопаузе (алгоритм ROMA) (расчетный показатель: СА 125, НЕ4)</t>
  </si>
  <si>
    <t>Индекс свободного тестостерона (ИСТ) (расчетный показатель: ГСПГ, общий тестостерон)</t>
  </si>
  <si>
    <t>Индекс инсулинорезистентности (HOMA-IR) (расчетный показатель: инсулин (натощак), глюкоза (натощак))</t>
  </si>
  <si>
    <t>П154</t>
  </si>
  <si>
    <t>Т070</t>
  </si>
  <si>
    <t>Антитела к тирозинфосфатазе (IA-2)</t>
  </si>
  <si>
    <t>А126</t>
  </si>
  <si>
    <t>Кортизол в суточной моче</t>
  </si>
  <si>
    <t>С501</t>
  </si>
  <si>
    <t>Хеликобактер пилори (Helicobacter pylori) в кале (антигенный тест)</t>
  </si>
  <si>
    <t>Коклюш, Паракоклюш, Бронхисептикоз</t>
  </si>
  <si>
    <t>П085</t>
  </si>
  <si>
    <t>Пролактин (определение макропролактина при результате пролактина выше 700 мкЕд/мл)</t>
  </si>
  <si>
    <t>Пренатальный скрининг SsdwLab 5.0.14 (I триместр 11-14 недель) (РАРР-А, β – ХГЧ свободный)</t>
  </si>
  <si>
    <t>И300</t>
  </si>
  <si>
    <t>И301</t>
  </si>
  <si>
    <t>И302</t>
  </si>
  <si>
    <t>И304</t>
  </si>
  <si>
    <t>И305</t>
  </si>
  <si>
    <t>И306</t>
  </si>
  <si>
    <t>И307</t>
  </si>
  <si>
    <t>И308</t>
  </si>
  <si>
    <t>И309</t>
  </si>
  <si>
    <t>И311</t>
  </si>
  <si>
    <t>И312</t>
  </si>
  <si>
    <t>И313</t>
  </si>
  <si>
    <t>И314</t>
  </si>
  <si>
    <t>И315</t>
  </si>
  <si>
    <t>И316</t>
  </si>
  <si>
    <t>И320</t>
  </si>
  <si>
    <t>Сроки  исполнения</t>
  </si>
  <si>
    <t>И323</t>
  </si>
  <si>
    <t>С3 компонент комплемента (Complement Component C3)</t>
  </si>
  <si>
    <t>С4 компонент комплемента (Complement Component C4)</t>
  </si>
  <si>
    <t>Интерлейкин - 2 (IL-2)</t>
  </si>
  <si>
    <t>Интерлейкин - 6 (IL-6)</t>
  </si>
  <si>
    <t>ФНО-альфа (фактор некроза опухоли-альфа, TNFalpha)</t>
  </si>
  <si>
    <t>И335</t>
  </si>
  <si>
    <t>И344</t>
  </si>
  <si>
    <t>И353</t>
  </si>
  <si>
    <t>И339</t>
  </si>
  <si>
    <t>Аллерген капусты кочанной, специфический IgE</t>
  </si>
  <si>
    <t>Аллерген капусты цветной отварной, специфический IgE</t>
  </si>
  <si>
    <t>И360</t>
  </si>
  <si>
    <t>И363</t>
  </si>
  <si>
    <t>И337</t>
  </si>
  <si>
    <t>И341</t>
  </si>
  <si>
    <t>И349</t>
  </si>
  <si>
    <t>И365</t>
  </si>
  <si>
    <t xml:space="preserve">Специфические IgE к пищевым аллергенам </t>
  </si>
  <si>
    <t>Специфические IgE к аллергенам пыльцы деревьев</t>
  </si>
  <si>
    <t>Специфические IgE к аллергенам сорных и луговых трав</t>
  </si>
  <si>
    <t>Специфические IgE к бытовым аллергенам</t>
  </si>
  <si>
    <t>Специфические IgE к эпидермальным аллергенам и белкам животного происхождения</t>
  </si>
  <si>
    <t>Специфические IgE к контактным аллергенам</t>
  </si>
  <si>
    <t>Специфические IgE к смеси аллергенов</t>
  </si>
  <si>
    <t>И357</t>
  </si>
  <si>
    <t>Аллерген альфа - лактоальбулина, специфический IgG</t>
  </si>
  <si>
    <t>И351</t>
  </si>
  <si>
    <t>Аллерген апельсина, специфический IgG</t>
  </si>
  <si>
    <t>И336</t>
  </si>
  <si>
    <t>Аллерген арахиса, специфический IgG</t>
  </si>
  <si>
    <t>И358</t>
  </si>
  <si>
    <t>Аллерген бета - лактоальбумина, специфический IgG</t>
  </si>
  <si>
    <t>И345</t>
  </si>
  <si>
    <t>Аллерген винограда, специфический IgG</t>
  </si>
  <si>
    <t>И346</t>
  </si>
  <si>
    <t>Аллерген говядины, специфический IgG</t>
  </si>
  <si>
    <t>И334</t>
  </si>
  <si>
    <t>Аллерген гречки, специфический IgG</t>
  </si>
  <si>
    <t>И354</t>
  </si>
  <si>
    <t>Аллерген дрожжей пекарских, специфический IgG</t>
  </si>
  <si>
    <t>И359</t>
  </si>
  <si>
    <t>Аллерген казеина, специфический IgG</t>
  </si>
  <si>
    <t>И340</t>
  </si>
  <si>
    <t>Аллерген капусты кочанной, специфический IgG</t>
  </si>
  <si>
    <t>И352</t>
  </si>
  <si>
    <t>Аллерген картофеля, специфический IgG</t>
  </si>
  <si>
    <t>И348</t>
  </si>
  <si>
    <t>Аллерген молока коровьего, специфический IgG</t>
  </si>
  <si>
    <t>И347</t>
  </si>
  <si>
    <t>Аллерген мяса индейки, специфический IgG</t>
  </si>
  <si>
    <t>И361</t>
  </si>
  <si>
    <t>Аллерген мяса курицы, специфический IgG</t>
  </si>
  <si>
    <t>И356</t>
  </si>
  <si>
    <t>И338</t>
  </si>
  <si>
    <t>Аллерген соевых бобов, специфический IgG</t>
  </si>
  <si>
    <t>И342</t>
  </si>
  <si>
    <t>Аллерген тыквы обыкновенной, специфический IgG</t>
  </si>
  <si>
    <t>И350</t>
  </si>
  <si>
    <t>Аллерген хурмы, специфический IgG</t>
  </si>
  <si>
    <t>И333</t>
  </si>
  <si>
    <t>Аллерген шоколада, специфический IgG</t>
  </si>
  <si>
    <t>И355</t>
  </si>
  <si>
    <t>Аллерген яблока, специфический IgG</t>
  </si>
  <si>
    <t>И343</t>
  </si>
  <si>
    <t>Аллерген яиц куриных цельных, специфический IgG</t>
  </si>
  <si>
    <t>Специфические IgG к бытовым аллергенам</t>
  </si>
  <si>
    <t>И329</t>
  </si>
  <si>
    <t>Аллерген клеща домашней пыли Derm.pteronyssinus,специфический IgG</t>
  </si>
  <si>
    <t>И330</t>
  </si>
  <si>
    <t>Аллерген клеща домашней пыли Derm. Farinae, 
специфический IgG</t>
  </si>
  <si>
    <t>Специфические IgG к эпидермальным аллергенам и белкам животного происхождения</t>
  </si>
  <si>
    <t>И331</t>
  </si>
  <si>
    <t>Аллерген эпителия кошки, специфический IgG</t>
  </si>
  <si>
    <t>И332</t>
  </si>
  <si>
    <t>Аллерген эпителия собаки, специфический IgG</t>
  </si>
  <si>
    <t>680 (при одновременной постановке 10 и более проб)</t>
  </si>
  <si>
    <t>Специфические IgG к пищевым аллергенам</t>
  </si>
  <si>
    <t>С008</t>
  </si>
  <si>
    <t>В113</t>
  </si>
  <si>
    <t>В109</t>
  </si>
  <si>
    <t>В110</t>
  </si>
  <si>
    <t>В154</t>
  </si>
  <si>
    <t>В103</t>
  </si>
  <si>
    <t>В104</t>
  </si>
  <si>
    <t>В150</t>
  </si>
  <si>
    <t>В100</t>
  </si>
  <si>
    <t>В112</t>
  </si>
  <si>
    <t>В107</t>
  </si>
  <si>
    <t>В116</t>
  </si>
  <si>
    <t>В115</t>
  </si>
  <si>
    <t>В156</t>
  </si>
  <si>
    <t>В117</t>
  </si>
  <si>
    <t>В119</t>
  </si>
  <si>
    <t>В129</t>
  </si>
  <si>
    <t>В120</t>
  </si>
  <si>
    <t>В128</t>
  </si>
  <si>
    <t>В118</t>
  </si>
  <si>
    <t>В141</t>
  </si>
  <si>
    <t>В131</t>
  </si>
  <si>
    <t>В132</t>
  </si>
  <si>
    <t>В126</t>
  </si>
  <si>
    <t>В155</t>
  </si>
  <si>
    <t>В114</t>
  </si>
  <si>
    <t>В121</t>
  </si>
  <si>
    <t>В122</t>
  </si>
  <si>
    <t>В123</t>
  </si>
  <si>
    <t>В124</t>
  </si>
  <si>
    <t>В125</t>
  </si>
  <si>
    <t>Холестерин-ЛПОНП (расчетный показатель: общий холестерин, ЛПВП, ЛПНП, триглицериды)</t>
  </si>
  <si>
    <t>В127</t>
  </si>
  <si>
    <t>В105</t>
  </si>
  <si>
    <t>В106</t>
  </si>
  <si>
    <t>В151</t>
  </si>
  <si>
    <t>В108</t>
  </si>
  <si>
    <t>В152</t>
  </si>
  <si>
    <t>В142</t>
  </si>
  <si>
    <t>В139</t>
  </si>
  <si>
    <t>И325</t>
  </si>
  <si>
    <t>В146</t>
  </si>
  <si>
    <t>В136</t>
  </si>
  <si>
    <t>В130</t>
  </si>
  <si>
    <t>В137</t>
  </si>
  <si>
    <t>В138</t>
  </si>
  <si>
    <t>В140</t>
  </si>
  <si>
    <t>В133</t>
  </si>
  <si>
    <t>В134</t>
  </si>
  <si>
    <t>В135</t>
  </si>
  <si>
    <t>И398</t>
  </si>
  <si>
    <t>Аллерген абрикоса, специфический IgE</t>
  </si>
  <si>
    <t>1 - 2 д.</t>
  </si>
  <si>
    <t>Аллерген вина белого, специфический IgE</t>
  </si>
  <si>
    <t>Аллерген вина красного, специфический IgE</t>
  </si>
  <si>
    <t>И400</t>
  </si>
  <si>
    <t>И392</t>
  </si>
  <si>
    <t>Аллерген соевых бобов, специфический IgE</t>
  </si>
  <si>
    <t>И402</t>
  </si>
  <si>
    <t>И396</t>
  </si>
  <si>
    <t>Аллерген крапивы, специфический IgE</t>
  </si>
  <si>
    <t>И394</t>
  </si>
  <si>
    <t>Аллерген лебеды, специфический IgE</t>
  </si>
  <si>
    <t>И401</t>
  </si>
  <si>
    <t>Аллерген груши, специфический IgG</t>
  </si>
  <si>
    <t>И393</t>
  </si>
  <si>
    <t>Аллерген клубники, специфический IgG</t>
  </si>
  <si>
    <t>И403</t>
  </si>
  <si>
    <t>Аллерген моркови, специфический IgG</t>
  </si>
  <si>
    <t>И318</t>
  </si>
  <si>
    <t>И322</t>
  </si>
  <si>
    <t>И367</t>
  </si>
  <si>
    <t>И368</t>
  </si>
  <si>
    <t>И194</t>
  </si>
  <si>
    <t>И366</t>
  </si>
  <si>
    <t>И192</t>
  </si>
  <si>
    <t>И191</t>
  </si>
  <si>
    <t>С317</t>
  </si>
  <si>
    <t>И371</t>
  </si>
  <si>
    <t>И370</t>
  </si>
  <si>
    <t>И195</t>
  </si>
  <si>
    <t>В166</t>
  </si>
  <si>
    <t>В171</t>
  </si>
  <si>
    <t>В168</t>
  </si>
  <si>
    <t>В163</t>
  </si>
  <si>
    <t>В165</t>
  </si>
  <si>
    <t>В162</t>
  </si>
  <si>
    <t>В164</t>
  </si>
  <si>
    <t>В160</t>
  </si>
  <si>
    <t>В169</t>
  </si>
  <si>
    <t>В170</t>
  </si>
  <si>
    <t>В167</t>
  </si>
  <si>
    <t>1-2 д.</t>
  </si>
  <si>
    <t>1-6 д.</t>
  </si>
  <si>
    <t>2-5 д.</t>
  </si>
  <si>
    <t>3-6 д.</t>
  </si>
  <si>
    <t>3-7 д.</t>
  </si>
  <si>
    <t>3-12 д.</t>
  </si>
  <si>
    <t>3-4 д.</t>
  </si>
  <si>
    <t>3-8 д.</t>
  </si>
  <si>
    <t>3-11 д.</t>
  </si>
  <si>
    <t>3-15 д.</t>
  </si>
  <si>
    <t>3-10 д.</t>
  </si>
  <si>
    <t>3-13 д.</t>
  </si>
  <si>
    <t>1-4 д.</t>
  </si>
  <si>
    <t>2-3 д.</t>
  </si>
  <si>
    <t>3- 7 д.</t>
  </si>
  <si>
    <t>1- 9 д.</t>
  </si>
  <si>
    <t>1-3 д.</t>
  </si>
  <si>
    <t xml:space="preserve">Грипп </t>
  </si>
  <si>
    <t>3-5 д.</t>
  </si>
  <si>
    <t>12-18 д.</t>
  </si>
  <si>
    <t>7-8 д.</t>
  </si>
  <si>
    <t>16-18 д.</t>
  </si>
  <si>
    <t>35-40 д.</t>
  </si>
  <si>
    <t>21-26 д.</t>
  </si>
  <si>
    <t>15-18 д.</t>
  </si>
  <si>
    <t>30-35 д.</t>
  </si>
  <si>
    <t>61-65 д.</t>
  </si>
  <si>
    <t>45-50 д.</t>
  </si>
  <si>
    <t>9-13 д.</t>
  </si>
  <si>
    <t>15-18 д</t>
  </si>
  <si>
    <t>7-9 д.</t>
  </si>
  <si>
    <t>21-26 д</t>
  </si>
  <si>
    <t>1 - 9 д.</t>
  </si>
  <si>
    <t>1 - 6 д.</t>
  </si>
  <si>
    <t>1-9 д.</t>
  </si>
  <si>
    <t>1 - 4 д.</t>
  </si>
  <si>
    <t>1 - 8 д.</t>
  </si>
  <si>
    <t>5 - 7 д.</t>
  </si>
  <si>
    <t>11 д.</t>
  </si>
  <si>
    <t>Эритропоэз</t>
  </si>
  <si>
    <t>понед(утро)</t>
  </si>
  <si>
    <t>понед(утро)     +1 д.</t>
  </si>
  <si>
    <t xml:space="preserve">понед(утро) </t>
  </si>
  <si>
    <t>четверг(вечер)         + 1 д.</t>
  </si>
  <si>
    <t>понед(вечер) среда(вечер) пятница(вечер)</t>
  </si>
  <si>
    <t>понед(утро) пятница(утро)</t>
  </si>
  <si>
    <t>понед(утро) среда(утро) пятница(утро)</t>
  </si>
  <si>
    <t>понед(утро) четверг(утро)</t>
  </si>
  <si>
    <t xml:space="preserve">понед(утро) среда(утро) </t>
  </si>
  <si>
    <t>вторник(вечер) четверг(вечер) суббота(вечер)</t>
  </si>
  <si>
    <t xml:space="preserve">понед(утро) среда(утро)   </t>
  </si>
  <si>
    <t xml:space="preserve"> четверг(вечер)</t>
  </si>
  <si>
    <t>среда(вечер) суббота(вечер)</t>
  </si>
  <si>
    <t xml:space="preserve">среда(утро) </t>
  </si>
  <si>
    <t>Код</t>
  </si>
  <si>
    <t>Сроки исполнения, дни постановки</t>
  </si>
  <si>
    <t>Ц102</t>
  </si>
  <si>
    <t>Цитологическое исследование носового секрета
(окраска по Романовскому-Гимзе)</t>
  </si>
  <si>
    <t>Цитологическое исследование пунктата, аспирата  (окраска по Романовскому-Гимзе)</t>
  </si>
  <si>
    <t>Жидкостная цитология соскобов, мазков урогенитального тракта (окраска по Папаниколау)</t>
  </si>
  <si>
    <t>Ц009</t>
  </si>
  <si>
    <t>Жидкостная цитология пунктата, аспирата (окраска по Папаниколау)</t>
  </si>
  <si>
    <t>И406</t>
  </si>
  <si>
    <t xml:space="preserve">Антитела к экстрагируемым ядерным антигенам (ENA) класса IgG (антитела к смеси антигенов SS-A (52 и 60 kDa), SS-B, Sm, RNP-Sm,Scl 70, Jo-1) </t>
  </si>
  <si>
    <t>С502</t>
  </si>
  <si>
    <t>Иммуноблот  антинуклеарных антител ANA (Sm, RNP/Sm, SS-A , Ro-52, SS-B, Scl-70, PM-Scl, PCNA, CENP-B, dsDNA, Histone, Nucleosome, Rib P, AMA-M2, Jo-1 антигенам)</t>
  </si>
  <si>
    <t>И412</t>
  </si>
  <si>
    <t>Аллерген вишни, специфический IgE</t>
  </si>
  <si>
    <t>И410</t>
  </si>
  <si>
    <t>Аллерген ржаной муки, специфический IgE</t>
  </si>
  <si>
    <t>И385</t>
  </si>
  <si>
    <t>И404</t>
  </si>
  <si>
    <t>И408</t>
  </si>
  <si>
    <t>И407</t>
  </si>
  <si>
    <t>И409</t>
  </si>
  <si>
    <t>Аллерген "Смесь деревьев (раннее цветение)" (ольха серая, лещина/орешник, вяз, ива, тополь трехгранный) (специфические IgE без дифференцирования)</t>
  </si>
  <si>
    <t>И413</t>
  </si>
  <si>
    <t>Аллерген вишни, специфический IgG</t>
  </si>
  <si>
    <t>И411</t>
  </si>
  <si>
    <t>Аллерген ржаной муки, специфический IgG</t>
  </si>
  <si>
    <t>И386</t>
  </si>
  <si>
    <t>Аллерген свинины, специфический IgG</t>
  </si>
  <si>
    <t>И405</t>
  </si>
  <si>
    <t>Аллерген томата, специфический IgG</t>
  </si>
  <si>
    <t>Т066</t>
  </si>
  <si>
    <t>С339</t>
  </si>
  <si>
    <t>Литий (Lithium)</t>
  </si>
  <si>
    <t>Б218</t>
  </si>
  <si>
    <t>В157</t>
  </si>
  <si>
    <t>Аллерген альфа-лактоальбулина, специфический IgE</t>
  </si>
  <si>
    <t>Аллерген бета - лактоальбумин, специфический IgE</t>
  </si>
  <si>
    <t>Аллерген клубники, специфический IgE</t>
  </si>
  <si>
    <t>Аллерген молока козьего, специфический IgE</t>
  </si>
  <si>
    <t>Аллерген молока коровьего, специфический IgE</t>
  </si>
  <si>
    <t>Аллерген яиц куриных цельных, специфический IgE</t>
  </si>
  <si>
    <t>Аллерген «Овощи микст» (горох, белая фасоль, морковь, картофель, томаты) (специфические IgE без дифференцирования)</t>
  </si>
  <si>
    <t>Аллерген «Фрукты микст» (банан, яблоко, персик, груша) (специфические IgE без дифференцирования)</t>
  </si>
  <si>
    <t>Аллерген «Орехи микст»(грецкий орех,фундук, миндаль, кокос, бразильский орех) (специфические IgE без дифференцирования)</t>
  </si>
  <si>
    <t>Аллерген "Мясо микст" (свинина, говядина, куриное мясо, мясо индейки) (специфические IgE без дифференцирования)</t>
  </si>
  <si>
    <t>Аллерген «Плесневые грибы микст» (Рenicilium notatum, Cladosporium herbarum, Aspergillus fumigatus, Mucor racemosus, Alternaria alternata) (специфические IgE без дифференцирования)</t>
  </si>
  <si>
    <t>Аллерген «Сорные травы микст» (амброзия обыкновенная, полынь обыкновенная, нивяник, марь белая, постенница лекарственная) (специфические IgE без дифференцирования)</t>
  </si>
  <si>
    <t>Аллерген «Домашняя пыль микст» (домашняя пыль, D.pteronyssinus, Derm. Farinae, таракан-прусак) (специфические IgE без дифференцирования)</t>
  </si>
  <si>
    <t>Аллерген "Перьевые микст" (гусиные перья, куриные перья, утиные перья) (специфические IgE без дифференцирования)</t>
  </si>
  <si>
    <t>Аллерген "Микст эпителиев и белков (грызуны)" (эпителий морской свинки, эпителий кролика, эпителий хомяка, эпителий и белки крысы, эпителий и белки мыши) (специфические IgE без дифференцирования)</t>
  </si>
  <si>
    <t>Смесь пищевая (педиатирическая) (яичный белок, молоко коровье, треска, пшеница, арахис, соевые бобы) (специфические IgE без дифференцирования)</t>
  </si>
  <si>
    <t>1 - 3 д.</t>
  </si>
  <si>
    <t>В175</t>
  </si>
  <si>
    <t>М141</t>
  </si>
  <si>
    <t>М128</t>
  </si>
  <si>
    <t>М140</t>
  </si>
  <si>
    <t>1 -2 д.</t>
  </si>
  <si>
    <t>Тропонин T</t>
  </si>
  <si>
    <t>И417</t>
  </si>
  <si>
    <t>И418</t>
  </si>
  <si>
    <t>Аллерген арбуза, специфический IgG</t>
  </si>
  <si>
    <t>П094</t>
  </si>
  <si>
    <t>Вирус герпеса 8 типа (HHV 8) (определение ДНК)</t>
  </si>
  <si>
    <t>2 - 4 д</t>
  </si>
  <si>
    <t>Эрлихиоз, Анаплазмоз</t>
  </si>
  <si>
    <t>Эрлихиоз моноцитарный (Ehrlichia chaffeensis) / Анаплазмоз гранулоцитарный (Anaplasma phagocytophilum) (определение ДНК)</t>
  </si>
  <si>
    <t>Антитела IgG к глутаматдекарбоксилазе (GAD) и тирозинфосфатазе (IA2)</t>
  </si>
  <si>
    <t>С341</t>
  </si>
  <si>
    <t xml:space="preserve">Квантифероновый тест - непрямой тест на Mycobact tuberculosis) </t>
  </si>
  <si>
    <t>П095</t>
  </si>
  <si>
    <t>Вирус герпеса 7 типа (HHV 7) (определение ДНК)</t>
  </si>
  <si>
    <t>понедел.(вечер)</t>
  </si>
  <si>
    <t>3 - 12 д.</t>
  </si>
  <si>
    <t>Т065</t>
  </si>
  <si>
    <t>Антинуклеарный фактор, HEp-2 субстрат  (АНФ, титры, антинуклеарные антитела методом непрямой иммунофлюоресценции на препаратах HEp-2-клеток;  ANA IF, titers)</t>
  </si>
  <si>
    <t>полукол.</t>
  </si>
  <si>
    <t>5 - 11 д.</t>
  </si>
  <si>
    <t>Т064</t>
  </si>
  <si>
    <t>Антитела к нуклеосомам класса IgG</t>
  </si>
  <si>
    <t>6 - 14 д.</t>
  </si>
  <si>
    <t>Ревматоидный артрит, заболевания суставов</t>
  </si>
  <si>
    <t>Антитела к модицифированному цитруллинированному виментину (анти-MCV) класса IgG</t>
  </si>
  <si>
    <t>И414</t>
  </si>
  <si>
    <t>И416</t>
  </si>
  <si>
    <t>И415</t>
  </si>
  <si>
    <t>Аллерген дыни, специфический IgG</t>
  </si>
  <si>
    <t>А125</t>
  </si>
  <si>
    <t>Т075</t>
  </si>
  <si>
    <t>Определение резус-фактора плода по крови матери</t>
  </si>
  <si>
    <t>П146</t>
  </si>
  <si>
    <t>В176</t>
  </si>
  <si>
    <t xml:space="preserve">Протокол согласования цен на платные медицинские услуги </t>
  </si>
  <si>
    <t>ДГЭА - сульфат (дегидроэпиандростерон- сульфат)</t>
  </si>
  <si>
    <t>И420</t>
  </si>
  <si>
    <t>И184</t>
  </si>
  <si>
    <t>К119</t>
  </si>
  <si>
    <t>Общий анализ крови без лейкоцитарной формулы и без СОЭ</t>
  </si>
  <si>
    <t>Микроскопия окрашенного мазка (выполняется вместе с ОАК без лейкоцитарной формулы и без СОЭ, оплаченным дополнительно)</t>
  </si>
  <si>
    <t>Тромбоциты (выполняется вместе с ОАК без лейкоцитарной формулы и без СОЭ, оплаченным дополнительно)</t>
  </si>
  <si>
    <t xml:space="preserve">Ретикулоциты  </t>
  </si>
  <si>
    <t>АЧТВ-отношение (R-АЧТВ)</t>
  </si>
  <si>
    <t>Аллерген пшеничной муки, специфический IgE</t>
  </si>
  <si>
    <t>Аллерген пшеничной муки, специфический IgG</t>
  </si>
  <si>
    <t>Бордетеллы  (Bordetella spp) - возбудители: коклюша (Bordetella pertussis), паракоклюша (Bordetella parapertussis), бронхисептикоза (Bordetella bronchiseptica)  (определение ДНК c дифференциацией)</t>
  </si>
  <si>
    <t>С380</t>
  </si>
  <si>
    <t>К167</t>
  </si>
  <si>
    <t>Исследование кала на гименолепидоз</t>
  </si>
  <si>
    <t>Спектральный анализ</t>
  </si>
  <si>
    <t>М098</t>
  </si>
  <si>
    <t>Микроскопическое исследование эякулята</t>
  </si>
  <si>
    <t>П163</t>
  </si>
  <si>
    <t>П162</t>
  </si>
  <si>
    <t>Микроскопическое исследование окрашенного мазка носового секрета на эозинофилы.</t>
  </si>
  <si>
    <t>ОТДЕЛЯЕМОЕ ЗЕВА, СОСКОБ С РОТОВОЙ ПОЛОСТИ</t>
  </si>
  <si>
    <t>Дифтерийный анатоксин (антитела класса IgG)</t>
  </si>
  <si>
    <t>И380</t>
  </si>
  <si>
    <t>С007</t>
  </si>
  <si>
    <r>
      <t>Ливер - 9 – Лайн</t>
    </r>
    <r>
      <rPr>
        <sz val="10"/>
        <rFont val="Times New Roman"/>
        <family val="1"/>
        <charset val="204"/>
      </rPr>
      <t xml:space="preserve"> (диагностика аутоиммунного гепатита AIH) Антимитохондриальные антитела (АМА) подтипа М2, антитела к растворимому ядерному белку (Sp100), антитела к интегральному мембранному гликопротеину (gp210), антитела к растворимому антигену печени (SLA/LP), антитела к микросомам (1 типа) печени и почек (LKM-1), антитела к цитозольному антигену (1 типа) печени(LC1), антитела к гладкой мускулатуре SMAs (анти-F-актин, анти-десмин, анти-миозин) </t>
    </r>
  </si>
  <si>
    <r>
      <t xml:space="preserve">Гастро- 5- Лайн
</t>
    </r>
    <r>
      <rPr>
        <sz val="10"/>
        <rFont val="Times New Roman"/>
        <family val="1"/>
        <charset val="204"/>
      </rPr>
      <t>Антитела к внутреннему фактору, париетальным клеткам, тканевой трансглутаминазе, ASCA, глиадину</t>
    </r>
  </si>
  <si>
    <r>
      <t xml:space="preserve">Панель аллергенов  № 1  ( Разные аллергены) (специфические IgE к 20 аллергенам) </t>
    </r>
    <r>
      <rPr>
        <sz val="10"/>
        <rFont val="Times New Roman"/>
        <family val="1"/>
        <charset val="204"/>
      </rPr>
      <t>клещ Derm. pteronyssinus, клещ Derm. farinae, ольха, береза, лещина, смесь трав, рожь (пыльца), полынь, подорожник, кошка, лошадь, собака, alternaria alternata, яичный белок, молоко, арахис, лесной орех, морковь, пшеничная мука, соевые бобы</t>
    </r>
  </si>
  <si>
    <r>
      <t xml:space="preserve">Панель аллергенов № 2  (Респираторные аллергены) (специфические IgE к 20 аллергенам)  </t>
    </r>
    <r>
      <rPr>
        <sz val="10"/>
        <rFont val="Times New Roman"/>
        <family val="1"/>
        <charset val="204"/>
      </rPr>
      <t>клещ Derm. pteronyssinus, клещ Derm. farinae, ольха, береза, лещина, дуб, смесь трав, рожь (пыльца), полынь, подорожник, кошка, лошадь, собака, морская свинка, золотистый хомячок, кролик, penicillium notatum, cladosporium herbarum,aspergillusfumigatus,alternaria alternate</t>
    </r>
  </si>
  <si>
    <r>
      <t xml:space="preserve">Панель аллергенов  № 3  (Пищевые аллергены) (специфические IgE к 20 аллергенам) </t>
    </r>
    <r>
      <rPr>
        <sz val="10"/>
        <rFont val="Times New Roman"/>
        <family val="1"/>
        <charset val="204"/>
      </rPr>
      <t>Лесные орехи, арахис, грецкие орехи, миндальные орехи, молоко, яичный белок, яичный желток, казеин, картофель, сельдерей, морковь, помидоры, треска, крабы, апельсины, яблоки, пшеничная мука, ржаная мука, кунжутное семя, соевые бобы</t>
    </r>
  </si>
  <si>
    <r>
      <t xml:space="preserve">Панель аллергенов № 4  ( Педиатрическая) (специфические IgE к 20 аллергенам)
</t>
    </r>
    <r>
      <rPr>
        <sz val="10"/>
        <rFont val="Times New Roman"/>
        <family val="1"/>
        <charset val="204"/>
      </rPr>
      <t>клещ Derm. pteronyssinus, клещ Derm. farinae, береза, смесь трав, кошка, собака, alternaria alternata, молоко, альфа-лактальбумин, бета – лактоглобулин, казеин, яичный белок, яичный желток, бычий сывороточный альбумин, соевые бобы, морковь, картофель, пшеничная мука, лесные орехи, арахис</t>
    </r>
  </si>
  <si>
    <r>
      <t xml:space="preserve">Пищевая аллергия (специфические IgG к 90 аллергенам) 
</t>
    </r>
    <r>
      <rPr>
        <sz val="10"/>
        <rFont val="Times New Roman"/>
        <family val="1"/>
        <charset val="204"/>
      </rPr>
      <t>Ананас, банан, глютен, грецкий орех, дрожжи пекарские, клубника/земляника, кальмар, картофель, кролик, курица, масло сливочное, морковь, огурец, перец черный, пшеница, рожь, сельдерей, фасоль стручковая, треска, устрицы, ячмень (цельное зерно), шоколад, апельсин, баранина, говядина, гречка, дрожжи пивные, индейка, камбала, кофе, кукуруза, лимон, мед, дыня мускусная, оливки, перец чили, пшено, сардины, подсолнечник (семена), творог/брынза, сахар тростниковый, форель, чай черный, яблоки, арахис, бета-лакто-глобулин, голубика, грибы, зеленый горошек, йогурт, брокколи, крабы, кунжут, лосось, миндаль, сыр мягкий, кола (орех), персики, фасоль пятнист./ бобы, свекла, сливы, сыр чеддер, тунец, хек, чеснок, яичный белок, авокадо, баклажан, виноград (белый/черный), грепфрут, груша, зеленый перец, казеин, капуста, креветки, табак, лук, молоко козье, молоко коровье, овес, палтус, петрушка, рис, свинина, соя (бобы), помидоры, кабачки, цветная капуста, сыр швейцарский, яичный желток</t>
    </r>
  </si>
  <si>
    <r>
      <t xml:space="preserve">Вирус папилломы человека (ВПЧ, HPV)) высокого канцерогенного риска </t>
    </r>
    <r>
      <rPr>
        <b/>
        <sz val="10"/>
        <rFont val="Times New Roman"/>
        <family val="1"/>
        <charset val="204"/>
      </rPr>
      <t>16,18 типов</t>
    </r>
    <r>
      <rPr>
        <sz val="10"/>
        <rFont val="Times New Roman"/>
        <family val="1"/>
        <charset val="204"/>
      </rPr>
      <t xml:space="preserve"> (определение ДНК)</t>
    </r>
  </si>
  <si>
    <r>
      <t>Вирус папилломы человека (ВПЧ, HPV)) высокого канцерогенного риска</t>
    </r>
    <r>
      <rPr>
        <b/>
        <sz val="10"/>
        <rFont val="Times New Roman"/>
        <family val="1"/>
        <charset val="204"/>
      </rPr>
      <t xml:space="preserve"> 16,18 типов </t>
    </r>
    <r>
      <rPr>
        <sz val="10"/>
        <rFont val="Times New Roman"/>
        <family val="1"/>
        <charset val="204"/>
      </rPr>
      <t>(с генотипированием) (определение ДНК)</t>
    </r>
  </si>
  <si>
    <r>
      <t xml:space="preserve">Вирус папилломы человека (ВПЧ, HPV) </t>
    </r>
    <r>
      <rPr>
        <b/>
        <sz val="10"/>
        <rFont val="Times New Roman"/>
        <family val="1"/>
        <charset val="204"/>
      </rPr>
      <t>СКРИН -15</t>
    </r>
    <r>
      <rPr>
        <sz val="10"/>
        <rFont val="Times New Roman"/>
        <family val="1"/>
        <charset val="204"/>
      </rPr>
      <t xml:space="preserve"> (низкого канцерогенного риска: 6,11 типов и высокого канцерогенного риска:16,18,31,33,35,39,45,51,52,56,58,59,68 типов) (определение ДНК с дифференциацией типов по группам:  (16,31,33,35,52,58), (18,39,45,59), (51), (56), (6,11), (68), без генотипирования)</t>
    </r>
  </si>
  <si>
    <r>
      <t xml:space="preserve">Вирус папилломы человека (ВПЧ, HPV) </t>
    </r>
    <r>
      <rPr>
        <b/>
        <sz val="10"/>
        <rFont val="Times New Roman"/>
        <family val="1"/>
        <charset val="204"/>
      </rPr>
      <t>КВАНТ-21</t>
    </r>
    <r>
      <rPr>
        <sz val="10"/>
        <rFont val="Times New Roman"/>
        <family val="1"/>
        <charset val="204"/>
      </rPr>
      <t xml:space="preserve"> (генотипирование  и количественное определение ДНК ВПЧ низкого канцерогенного риска: 6,11,44 типов и высокого канцерогенного риска:16,18,26,31,33,35,39,45,51,52,53,56,58,59,66,68,73,82 типов) (определение ДНК)</t>
    </r>
  </si>
  <si>
    <r>
      <t xml:space="preserve">Вирус папилломы человека (ВПЧ, HPV) высокого канцерогенного риска </t>
    </r>
    <r>
      <rPr>
        <b/>
        <sz val="10"/>
        <rFont val="Times New Roman"/>
        <family val="1"/>
        <charset val="204"/>
      </rPr>
      <t>12 типов</t>
    </r>
    <r>
      <rPr>
        <sz val="10"/>
        <rFont val="Times New Roman"/>
        <family val="1"/>
        <charset val="204"/>
      </rPr>
      <t xml:space="preserve"> (генотипирование  и количественное определение ДНК ВПЧ 16,18,31,33,35,39,45,51, 52,56,58,59 типов) (определение ДНК)</t>
    </r>
  </si>
  <si>
    <r>
      <t>Вирус папилломы человека (ВПЧ, HPV)) (</t>
    </r>
    <r>
      <rPr>
        <b/>
        <sz val="10"/>
        <rFont val="Times New Roman"/>
        <family val="1"/>
        <charset val="204"/>
      </rPr>
      <t>кондиломные 6,11 типов</t>
    </r>
    <r>
      <rPr>
        <sz val="10"/>
        <rFont val="Times New Roman"/>
        <family val="1"/>
        <charset val="204"/>
      </rPr>
      <t>) (определение ДНК)</t>
    </r>
  </si>
  <si>
    <r>
      <t xml:space="preserve">Исследование микрофлоры урогенитального тракта мужчин АНДРОФЛОР </t>
    </r>
    <r>
      <rPr>
        <b/>
        <sz val="10"/>
        <rFont val="Times New Roman"/>
        <family val="1"/>
        <charset val="204"/>
      </rPr>
      <t>(24 показателя)</t>
    </r>
  </si>
  <si>
    <r>
      <t xml:space="preserve">Исследование микрофлоры урогенитального тракта мужчин АНДРОФЛОР СКРИН </t>
    </r>
    <r>
      <rPr>
        <b/>
        <sz val="10"/>
        <rFont val="Times New Roman"/>
        <family val="1"/>
        <charset val="204"/>
      </rPr>
      <t>(15 показателей)</t>
    </r>
  </si>
  <si>
    <r>
      <t xml:space="preserve">Исследование биоценоза урогенительного тракта Фемофлор-16 (определение ДНК) </t>
    </r>
    <r>
      <rPr>
        <b/>
        <sz val="10"/>
        <rFont val="Times New Roman"/>
        <family val="1"/>
        <charset val="204"/>
      </rPr>
      <t>(16 показателей + КВМ)</t>
    </r>
  </si>
  <si>
    <r>
      <t xml:space="preserve">Исследование биоценоза урогенительного тракта Фемофлор-8 (определение ДНК) </t>
    </r>
    <r>
      <rPr>
        <b/>
        <sz val="10"/>
        <rFont val="Times New Roman"/>
        <family val="1"/>
        <charset val="204"/>
      </rPr>
      <t>(8 показателей + КВМ)</t>
    </r>
  </si>
  <si>
    <r>
      <t xml:space="preserve">Исследование биоценоза урогенительного тракта Фемофлор СКРИН (определение ДНК) </t>
    </r>
    <r>
      <rPr>
        <b/>
        <sz val="10"/>
        <rFont val="Times New Roman"/>
        <family val="1"/>
        <charset val="204"/>
      </rPr>
      <t>(13 показателей +КВМ)</t>
    </r>
  </si>
  <si>
    <r>
      <t xml:space="preserve">Флороценоз - Бактериальный вагиноз  </t>
    </r>
    <r>
      <rPr>
        <b/>
        <sz val="10"/>
        <rFont val="Times New Roman"/>
        <family val="1"/>
        <charset val="204"/>
      </rPr>
      <t>(4 показателя)</t>
    </r>
    <r>
      <rPr>
        <sz val="10"/>
        <rFont val="Times New Roman"/>
        <family val="1"/>
        <charset val="204"/>
      </rPr>
      <t xml:space="preserve"> (определение ДНК)</t>
    </r>
  </si>
  <si>
    <r>
      <rPr>
        <sz val="8"/>
        <rFont val="Times New Roman"/>
        <family val="1"/>
        <charset val="204"/>
      </rPr>
      <t>вторник(вечер) четверг(вечер) суббота(вечер</t>
    </r>
    <r>
      <rPr>
        <sz val="9"/>
        <rFont val="Times New Roman"/>
        <family val="1"/>
        <charset val="204"/>
      </rPr>
      <t>)</t>
    </r>
  </si>
  <si>
    <r>
      <t xml:space="preserve">Типирование по трем генам HLA II класса (1 чел.) 
</t>
    </r>
    <r>
      <rPr>
        <sz val="10"/>
        <rFont val="Times New Roman"/>
        <family val="1"/>
        <charset val="204"/>
      </rPr>
      <t>DQA1,DQB1, DRB1</t>
    </r>
  </si>
  <si>
    <r>
      <t xml:space="preserve">Типирование супружеской пары по трем генам HLA II класса с комментарием   (2 чел.)
</t>
    </r>
    <r>
      <rPr>
        <sz val="10"/>
        <rFont val="Times New Roman"/>
        <family val="1"/>
        <charset val="204"/>
      </rPr>
      <t>DQA1,DQB1, DRB1</t>
    </r>
  </si>
  <si>
    <r>
      <t xml:space="preserve">PML-RARA  тип  bcr 1-2 - t(15;17) </t>
    </r>
    <r>
      <rPr>
        <b/>
        <sz val="10"/>
        <rFont val="Times New Roman"/>
        <family val="1"/>
        <charset val="204"/>
      </rPr>
      <t>(14.1) качественно</t>
    </r>
  </si>
  <si>
    <r>
      <t xml:space="preserve">PML-RARA  тип  bcr 1-2 - t(15;17) </t>
    </r>
    <r>
      <rPr>
        <b/>
        <sz val="10"/>
        <rFont val="Times New Roman"/>
        <family val="1"/>
        <charset val="204"/>
      </rPr>
      <t>(14.1) количественно</t>
    </r>
  </si>
  <si>
    <r>
      <t>PML-RARA  тип  bcr 3 - t(15;17)</t>
    </r>
    <r>
      <rPr>
        <b/>
        <sz val="10"/>
        <rFont val="Times New Roman"/>
        <family val="1"/>
        <charset val="204"/>
      </rPr>
      <t xml:space="preserve"> (14.2) качественно</t>
    </r>
  </si>
  <si>
    <r>
      <t xml:space="preserve">PML-RARA  тип  bcr 3 - t(15;17) </t>
    </r>
    <r>
      <rPr>
        <b/>
        <sz val="10"/>
        <rFont val="Times New Roman"/>
        <family val="1"/>
        <charset val="204"/>
      </rPr>
      <t>(14.2) количественно</t>
    </r>
  </si>
  <si>
    <r>
      <t xml:space="preserve">BCR-ABL p210 (b2a2) - t(9;22) </t>
    </r>
    <r>
      <rPr>
        <b/>
        <sz val="10"/>
        <rFont val="Times New Roman"/>
        <family val="1"/>
        <charset val="204"/>
      </rPr>
      <t>(14.5) качественно</t>
    </r>
  </si>
  <si>
    <r>
      <t xml:space="preserve">BCR-ABL p210 (b2a2) - t(9;22) </t>
    </r>
    <r>
      <rPr>
        <b/>
        <sz val="10"/>
        <rFont val="Times New Roman"/>
        <family val="1"/>
        <charset val="204"/>
      </rPr>
      <t>(14.5) количественно</t>
    </r>
  </si>
  <si>
    <r>
      <t xml:space="preserve">BCR-ABL p210 (b3a2) - t(9;22) </t>
    </r>
    <r>
      <rPr>
        <b/>
        <sz val="10"/>
        <rFont val="Times New Roman"/>
        <family val="1"/>
        <charset val="204"/>
      </rPr>
      <t>(14.6) качественно</t>
    </r>
  </si>
  <si>
    <r>
      <t xml:space="preserve">BCR-ABL p210 (b3a2) - t(9;22) </t>
    </r>
    <r>
      <rPr>
        <b/>
        <sz val="10"/>
        <rFont val="Times New Roman"/>
        <family val="1"/>
        <charset val="204"/>
      </rPr>
      <t>(14.6) количественно</t>
    </r>
  </si>
  <si>
    <r>
      <t xml:space="preserve">BCR-ABL p190  - t(9;22) </t>
    </r>
    <r>
      <rPr>
        <b/>
        <sz val="10"/>
        <rFont val="Times New Roman"/>
        <family val="1"/>
        <charset val="204"/>
      </rPr>
      <t>(14.7) качественно</t>
    </r>
  </si>
  <si>
    <r>
      <t xml:space="preserve">BCR-ABL p190  - t(9;22) </t>
    </r>
    <r>
      <rPr>
        <b/>
        <sz val="10"/>
        <rFont val="Times New Roman"/>
        <family val="1"/>
        <charset val="204"/>
      </rPr>
      <t>(14.7) количественно</t>
    </r>
  </si>
  <si>
    <r>
      <t xml:space="preserve">BCR-ABL p230 - t(9;22) </t>
    </r>
    <r>
      <rPr>
        <b/>
        <sz val="10"/>
        <rFont val="Times New Roman"/>
        <family val="1"/>
        <charset val="204"/>
      </rPr>
      <t>(14.8) качественно</t>
    </r>
  </si>
  <si>
    <r>
      <t xml:space="preserve">BCR-ABL p230 - t(9;22) </t>
    </r>
    <r>
      <rPr>
        <b/>
        <sz val="10"/>
        <rFont val="Times New Roman"/>
        <family val="1"/>
        <charset val="204"/>
      </rPr>
      <t>(14.8) количественно</t>
    </r>
  </si>
  <si>
    <r>
      <t xml:space="preserve">Определение мутаций в гене BCR-ABL, вызывающих резистентность к ингибиторам тирозинкизной активности  </t>
    </r>
    <r>
      <rPr>
        <b/>
        <sz val="10"/>
        <rFont val="Times New Roman"/>
        <family val="1"/>
        <charset val="204"/>
      </rPr>
      <t>(14.9)</t>
    </r>
  </si>
  <si>
    <r>
      <t xml:space="preserve">AML1-ETO  - t(8;21) </t>
    </r>
    <r>
      <rPr>
        <b/>
        <sz val="10"/>
        <rFont val="Times New Roman"/>
        <family val="1"/>
        <charset val="204"/>
      </rPr>
      <t>(14.11) качественно</t>
    </r>
  </si>
  <si>
    <r>
      <t xml:space="preserve">AML1-ETO  - t(8;21) </t>
    </r>
    <r>
      <rPr>
        <b/>
        <sz val="10"/>
        <rFont val="Times New Roman"/>
        <family val="1"/>
        <charset val="204"/>
      </rPr>
      <t>(14.11) количественно</t>
    </r>
  </si>
  <si>
    <r>
      <t xml:space="preserve">FLT3 </t>
    </r>
    <r>
      <rPr>
        <b/>
        <sz val="10"/>
        <rFont val="Times New Roman"/>
        <family val="1"/>
        <charset val="204"/>
      </rPr>
      <t>(14.45) количественно</t>
    </r>
  </si>
  <si>
    <r>
      <t>PRAME</t>
    </r>
    <r>
      <rPr>
        <b/>
        <sz val="10"/>
        <rFont val="Times New Roman"/>
        <family val="1"/>
        <charset val="204"/>
      </rPr>
      <t xml:space="preserve"> (14.46) количественно</t>
    </r>
  </si>
  <si>
    <r>
      <t>Определение мутации V617F в 14 экзоне гене Jak 2 киназы </t>
    </r>
    <r>
      <rPr>
        <b/>
        <sz val="10"/>
        <rFont val="Times New Roman"/>
        <family val="1"/>
        <charset val="204"/>
      </rPr>
      <t>(14.68) (качественно)</t>
    </r>
  </si>
  <si>
    <r>
      <t xml:space="preserve">Определение мутации V617F в 14 экзоне гене Jak 2 киназы </t>
    </r>
    <r>
      <rPr>
        <b/>
        <sz val="10"/>
        <rFont val="Times New Roman"/>
        <family val="1"/>
        <charset val="204"/>
      </rPr>
      <t>(14.68)(количественно)</t>
    </r>
  </si>
  <si>
    <r>
      <t xml:space="preserve">Определение мутаций в гене CEBPA </t>
    </r>
    <r>
      <rPr>
        <b/>
        <sz val="10"/>
        <rFont val="Times New Roman"/>
        <family val="1"/>
        <charset val="204"/>
      </rPr>
      <t>(14.75) (мутационный анализ)</t>
    </r>
  </si>
  <si>
    <r>
      <t>Определение мутаций в гене NPM (нуклеофазмина)</t>
    </r>
    <r>
      <rPr>
        <b/>
        <sz val="10"/>
        <rFont val="Times New Roman"/>
        <family val="1"/>
        <charset val="204"/>
      </rPr>
      <t xml:space="preserve"> (14.74) (мутационный анализ)</t>
    </r>
  </si>
  <si>
    <r>
      <t xml:space="preserve">Маркеры эозинофилии PDGFRA, PDGDRB, FIP1L1 </t>
    </r>
    <r>
      <rPr>
        <b/>
        <sz val="10"/>
        <rFont val="Times New Roman"/>
        <family val="1"/>
        <charset val="204"/>
      </rPr>
      <t>(14.78)</t>
    </r>
  </si>
  <si>
    <r>
      <t xml:space="preserve">Абиотрофия сетчатки, тип Франческетти. Поиск наиболее частых мутаций в гене АВСА4 </t>
    </r>
    <r>
      <rPr>
        <b/>
        <i/>
        <sz val="10"/>
        <rFont val="Times New Roman"/>
        <family val="1"/>
        <charset val="204"/>
      </rPr>
      <t>(1.8.1)</t>
    </r>
  </si>
  <si>
    <r>
      <t xml:space="preserve">Поиск 9-ти наиболее частых мутаций в </t>
    </r>
    <r>
      <rPr>
        <b/>
        <sz val="10"/>
        <rFont val="Times New Roman"/>
        <family val="1"/>
        <charset val="204"/>
      </rPr>
      <t>гене CYP21OHB</t>
    </r>
    <r>
      <rPr>
        <sz val="10"/>
        <rFont val="Times New Roman"/>
        <family val="1"/>
        <charset val="204"/>
      </rPr>
      <t xml:space="preserve"> с обязательным предоставлением материала родителей больного ребенка (кровь с ЭДТА)
 (1 чел) </t>
    </r>
    <r>
      <rPr>
        <b/>
        <i/>
        <sz val="10"/>
        <rFont val="Times New Roman"/>
        <family val="1"/>
        <charset val="204"/>
      </rPr>
      <t>(5.6)</t>
    </r>
  </si>
  <si>
    <r>
      <t xml:space="preserve">Поиск 9-ти наиболее частых мутаций в гене </t>
    </r>
    <r>
      <rPr>
        <b/>
        <sz val="10"/>
        <rFont val="Times New Roman"/>
        <family val="1"/>
        <charset val="204"/>
      </rPr>
      <t>CYP21OHB</t>
    </r>
    <r>
      <rPr>
        <sz val="10"/>
        <rFont val="Times New Roman"/>
        <family val="1"/>
        <charset val="204"/>
      </rPr>
      <t xml:space="preserve"> у родительской пары при недоступности материала больного ребенка (кровь с ЭДТА) (2 чел) 
</t>
    </r>
    <r>
      <rPr>
        <b/>
        <sz val="10"/>
        <rFont val="Times New Roman"/>
        <family val="1"/>
        <charset val="204"/>
      </rPr>
      <t>(77.18)</t>
    </r>
  </si>
  <si>
    <r>
      <t xml:space="preserve">Поиск мутаций в гене SLC39А4 </t>
    </r>
    <r>
      <rPr>
        <b/>
        <i/>
        <sz val="10"/>
        <rFont val="Times New Roman"/>
        <family val="1"/>
        <charset val="204"/>
      </rPr>
      <t>(82.9)</t>
    </r>
  </si>
  <si>
    <r>
      <t xml:space="preserve">Альбинизм глазокожный. Поиск мутаций в гене TYR. </t>
    </r>
    <r>
      <rPr>
        <b/>
        <i/>
        <sz val="10"/>
        <rFont val="Times New Roman"/>
        <family val="1"/>
        <charset val="204"/>
      </rPr>
      <t>(77.4)</t>
    </r>
  </si>
  <si>
    <r>
      <t xml:space="preserve">Поиск мутаций в гене RPS19 </t>
    </r>
    <r>
      <rPr>
        <b/>
        <i/>
        <sz val="10"/>
        <rFont val="Times New Roman"/>
        <family val="1"/>
        <charset val="204"/>
      </rPr>
      <t>(77.14)</t>
    </r>
  </si>
  <si>
    <r>
      <t xml:space="preserve">Атрофия зрительного нерва с глухотой. Поиск мутаций в "горячих" участках гена ОРА1  </t>
    </r>
    <r>
      <rPr>
        <b/>
        <i/>
        <sz val="10"/>
        <rFont val="Times New Roman"/>
        <family val="1"/>
        <charset val="204"/>
      </rPr>
      <t>(79.26)</t>
    </r>
  </si>
  <si>
    <r>
      <t xml:space="preserve">Атрофия зрительного нерва Лебера. Поиск 12-ти частых мутаций митохондриальной ДНК </t>
    </r>
    <r>
      <rPr>
        <b/>
        <i/>
        <sz val="10"/>
        <rFont val="Times New Roman"/>
        <family val="1"/>
        <charset val="204"/>
      </rPr>
      <t>(72.28)</t>
    </r>
  </si>
  <si>
    <r>
      <t xml:space="preserve">Поиск мутаций в гене FAS </t>
    </r>
    <r>
      <rPr>
        <b/>
        <i/>
        <sz val="10"/>
        <rFont val="Times New Roman"/>
        <family val="1"/>
        <charset val="204"/>
      </rPr>
      <t>(82.6)</t>
    </r>
  </si>
  <si>
    <r>
      <t xml:space="preserve">Поиск мутаций в гене SOD1 </t>
    </r>
    <r>
      <rPr>
        <b/>
        <i/>
        <sz val="10"/>
        <rFont val="Times New Roman"/>
        <family val="1"/>
        <charset val="204"/>
      </rPr>
      <t>(77.27)</t>
    </r>
  </si>
  <si>
    <r>
      <t xml:space="preserve">Поиск частых мутаций в гене C90RF72 </t>
    </r>
    <r>
      <rPr>
        <b/>
        <i/>
        <sz val="10"/>
        <rFont val="Times New Roman"/>
        <family val="1"/>
        <charset val="204"/>
      </rPr>
      <t>(1.23)</t>
    </r>
  </si>
  <si>
    <r>
      <t xml:space="preserve">Поиск делеций в гене 22q11 </t>
    </r>
    <r>
      <rPr>
        <b/>
        <i/>
        <sz val="10"/>
        <rFont val="Times New Roman"/>
        <family val="1"/>
        <charset val="204"/>
      </rPr>
      <t>(5.8.1)</t>
    </r>
  </si>
  <si>
    <r>
      <t xml:space="preserve">Поиск 8-ми наиболее частых мутаций в гене АТР7В </t>
    </r>
    <r>
      <rPr>
        <b/>
        <i/>
        <sz val="10"/>
        <rFont val="Times New Roman"/>
        <family val="1"/>
        <charset val="204"/>
      </rPr>
      <t>(1.4)</t>
    </r>
  </si>
  <si>
    <r>
      <t>Поиск экзонных делеций и частых инверсий в гене F8 при гемофилии А</t>
    </r>
    <r>
      <rPr>
        <i/>
        <sz val="10"/>
        <rFont val="Times New Roman"/>
        <family val="1"/>
        <charset val="204"/>
      </rPr>
      <t xml:space="preserve"> </t>
    </r>
    <r>
      <rPr>
        <b/>
        <i/>
        <sz val="10"/>
        <rFont val="Times New Roman"/>
        <family val="1"/>
        <charset val="204"/>
      </rPr>
      <t>(5.25)</t>
    </r>
  </si>
  <si>
    <r>
      <t xml:space="preserve">Поиск мутаций в гене F9 при гемофилии В </t>
    </r>
    <r>
      <rPr>
        <b/>
        <i/>
        <sz val="10"/>
        <rFont val="Times New Roman"/>
        <family val="1"/>
        <charset val="204"/>
      </rPr>
      <t>(76.2)</t>
    </r>
  </si>
  <si>
    <r>
      <t xml:space="preserve">Поиск мутаций в гене KRT1 </t>
    </r>
    <r>
      <rPr>
        <b/>
        <i/>
        <sz val="10"/>
        <rFont val="Times New Roman"/>
        <family val="1"/>
        <charset val="204"/>
      </rPr>
      <t>(88.10)</t>
    </r>
  </si>
  <si>
    <r>
      <t xml:space="preserve">Поиск мутаций в гене KRT9 </t>
    </r>
    <r>
      <rPr>
        <b/>
        <i/>
        <sz val="10"/>
        <rFont val="Times New Roman"/>
        <family val="1"/>
        <charset val="204"/>
      </rPr>
      <t>(76.20)</t>
    </r>
  </si>
  <si>
    <r>
      <t xml:space="preserve">Поиск мутаций в гене KRT6С </t>
    </r>
    <r>
      <rPr>
        <b/>
        <i/>
        <sz val="10"/>
        <rFont val="Times New Roman"/>
        <family val="1"/>
        <charset val="204"/>
      </rPr>
      <t>(76.25)</t>
    </r>
  </si>
  <si>
    <r>
      <t xml:space="preserve">Поиск мутаций в гене KRT6А </t>
    </r>
    <r>
      <rPr>
        <b/>
        <i/>
        <sz val="10"/>
        <rFont val="Times New Roman"/>
        <family val="1"/>
        <charset val="204"/>
      </rPr>
      <t>(76.26.1)</t>
    </r>
  </si>
  <si>
    <r>
      <t xml:space="preserve">Поиск мутаций в гене PROP1 </t>
    </r>
    <r>
      <rPr>
        <b/>
        <i/>
        <sz val="10"/>
        <rFont val="Times New Roman"/>
        <family val="1"/>
        <charset val="204"/>
      </rPr>
      <t>(72.42)</t>
    </r>
  </si>
  <si>
    <r>
      <t>Поиск мутаций в "горячих" участках гена FBN1</t>
    </r>
    <r>
      <rPr>
        <b/>
        <i/>
        <sz val="10"/>
        <rFont val="Times New Roman"/>
        <family val="1"/>
        <charset val="204"/>
      </rPr>
      <t>(76.15)</t>
    </r>
  </si>
  <si>
    <r>
      <t xml:space="preserve">Поиск мутаций в гене FBN1, кроме "горячих" участков </t>
    </r>
    <r>
      <rPr>
        <b/>
        <i/>
        <sz val="10"/>
        <rFont val="Times New Roman"/>
        <family val="1"/>
        <charset val="204"/>
      </rPr>
      <t>(94.1)</t>
    </r>
  </si>
  <si>
    <r>
      <t xml:space="preserve">Поиск частых мутаций в гене CLCN1 </t>
    </r>
    <r>
      <rPr>
        <b/>
        <i/>
        <sz val="10"/>
        <rFont val="Times New Roman"/>
        <family val="1"/>
        <charset val="204"/>
      </rPr>
      <t>(1.17)</t>
    </r>
  </si>
  <si>
    <r>
      <t xml:space="preserve">Поиск наиболее частых мутаций в гене DMPK </t>
    </r>
    <r>
      <rPr>
        <b/>
        <i/>
        <sz val="10"/>
        <rFont val="Times New Roman"/>
        <family val="1"/>
        <charset val="204"/>
      </rPr>
      <t>(2.7)</t>
    </r>
  </si>
  <si>
    <r>
      <t>Поиск наиболее частых мутаций в гене ZNF</t>
    </r>
    <r>
      <rPr>
        <b/>
        <i/>
        <sz val="10"/>
        <rFont val="Times New Roman"/>
        <family val="1"/>
        <charset val="204"/>
      </rPr>
      <t xml:space="preserve"> (2.32)</t>
    </r>
  </si>
  <si>
    <r>
      <t xml:space="preserve">Расширенный поиск частых мутаций в гене </t>
    </r>
    <r>
      <rPr>
        <b/>
        <sz val="10"/>
        <rFont val="Times New Roman"/>
        <family val="1"/>
        <charset val="204"/>
      </rPr>
      <t xml:space="preserve">CFTR </t>
    </r>
    <r>
      <rPr>
        <sz val="10"/>
        <rFont val="Times New Roman"/>
        <family val="1"/>
        <charset val="204"/>
      </rPr>
      <t>(30 точек) (1 чел)</t>
    </r>
    <r>
      <rPr>
        <b/>
        <i/>
        <sz val="10"/>
        <rFont val="Times New Roman"/>
        <family val="1"/>
        <charset val="204"/>
      </rPr>
      <t xml:space="preserve"> (5.18)</t>
    </r>
  </si>
  <si>
    <r>
      <t>Мышечная дистрофия врожденная, интегрин А7 негативная. Поиск мутаций в гене ITGA7</t>
    </r>
    <r>
      <rPr>
        <b/>
        <sz val="10"/>
        <rFont val="Times New Roman"/>
        <family val="1"/>
        <charset val="204"/>
      </rPr>
      <t xml:space="preserve"> </t>
    </r>
    <r>
      <rPr>
        <b/>
        <i/>
        <sz val="10"/>
        <rFont val="Times New Roman"/>
        <family val="1"/>
        <charset val="204"/>
      </rPr>
      <t>(89.10)</t>
    </r>
  </si>
  <si>
    <r>
      <t xml:space="preserve">Мышечная дистрофия врожденная, мерозин-негативная. Поиск мутаций в "горячих" участках гена LAMA2 </t>
    </r>
    <r>
      <rPr>
        <b/>
        <i/>
        <sz val="10"/>
        <rFont val="Times New Roman"/>
        <family val="1"/>
        <charset val="204"/>
      </rPr>
      <t>(83.15)</t>
    </r>
  </si>
  <si>
    <r>
      <t xml:space="preserve">Мышечная дистрофия врожденная, тип 1С. Поиск мутаций в гене FKRP </t>
    </r>
    <r>
      <rPr>
        <b/>
        <i/>
        <sz val="10"/>
        <rFont val="Times New Roman"/>
        <family val="1"/>
        <charset val="204"/>
      </rPr>
      <t>(72.10.1)</t>
    </r>
  </si>
  <si>
    <r>
      <t xml:space="preserve">Поиск частых мутаций в генах CAPN3, FKRP, ANO5, SGCA </t>
    </r>
    <r>
      <rPr>
        <b/>
        <i/>
        <sz val="10"/>
        <rFont val="Times New Roman"/>
        <family val="1"/>
        <charset val="204"/>
      </rPr>
      <t>(1.25)</t>
    </r>
  </si>
  <si>
    <r>
      <t xml:space="preserve">Поиск мутаций в гене NPHS2 </t>
    </r>
    <r>
      <rPr>
        <b/>
        <i/>
        <sz val="10"/>
        <rFont val="Times New Roman"/>
        <family val="1"/>
        <charset val="204"/>
      </rPr>
      <t>(82.15.1)</t>
    </r>
  </si>
  <si>
    <r>
      <t xml:space="preserve">Поиск мутаций в гене NPHS1 </t>
    </r>
    <r>
      <rPr>
        <b/>
        <i/>
        <sz val="10"/>
        <rFont val="Times New Roman"/>
        <family val="1"/>
        <charset val="204"/>
      </rPr>
      <t>(85.9)</t>
    </r>
  </si>
  <si>
    <r>
      <t xml:space="preserve">Поиск мутаций в 23 генах, ответственных за синдромы Нунан и Leopard </t>
    </r>
    <r>
      <rPr>
        <b/>
        <i/>
        <sz val="10"/>
        <rFont val="Times New Roman"/>
        <family val="1"/>
        <charset val="204"/>
      </rPr>
      <t>(80.12.1)</t>
    </r>
  </si>
  <si>
    <r>
      <t xml:space="preserve">Поиск наиболее частых мутаций в гене TCIRG1 </t>
    </r>
    <r>
      <rPr>
        <b/>
        <i/>
        <sz val="10"/>
        <rFont val="Times New Roman"/>
        <family val="1"/>
        <charset val="204"/>
      </rPr>
      <t>(2.20)</t>
    </r>
  </si>
  <si>
    <r>
      <t xml:space="preserve">Поиск мутаций в гене TCIRG1 </t>
    </r>
    <r>
      <rPr>
        <b/>
        <i/>
        <sz val="10"/>
        <rFont val="Times New Roman"/>
        <family val="1"/>
        <charset val="204"/>
      </rPr>
      <t>(84.15)</t>
    </r>
  </si>
  <si>
    <r>
      <t xml:space="preserve">Поиск наиболее частых мутаций в гене COMP </t>
    </r>
    <r>
      <rPr>
        <b/>
        <i/>
        <sz val="10"/>
        <rFont val="Times New Roman"/>
        <family val="1"/>
        <charset val="204"/>
      </rPr>
      <t>(2.22.1)</t>
    </r>
  </si>
  <si>
    <r>
      <t xml:space="preserve">Поиск мутаций в гене МЕСР2 </t>
    </r>
    <r>
      <rPr>
        <b/>
        <i/>
        <sz val="10"/>
        <rFont val="Times New Roman"/>
        <family val="1"/>
        <charset val="204"/>
      </rPr>
      <t>(77.21)</t>
    </r>
  </si>
  <si>
    <r>
      <t xml:space="preserve">Поиск мутаций в гене TSC1, TSC 2 </t>
    </r>
    <r>
      <rPr>
        <b/>
        <i/>
        <sz val="10"/>
        <rFont val="Times New Roman"/>
        <family val="1"/>
        <charset val="204"/>
      </rPr>
      <t>(80.7)</t>
    </r>
  </si>
  <si>
    <r>
      <t xml:space="preserve">Расширенный поиск мутаций в гене РАН (25 шт) </t>
    </r>
    <r>
      <rPr>
        <b/>
        <i/>
        <sz val="10"/>
        <rFont val="Times New Roman"/>
        <family val="1"/>
        <charset val="204"/>
      </rPr>
      <t>(5.19)</t>
    </r>
  </si>
  <si>
    <r>
      <t xml:space="preserve">Поиск наиболее частых мутаций в гене НТТ </t>
    </r>
    <r>
      <rPr>
        <b/>
        <i/>
        <sz val="10"/>
        <rFont val="Times New Roman"/>
        <family val="1"/>
        <charset val="204"/>
      </rPr>
      <t>(2.4)</t>
    </r>
  </si>
  <si>
    <r>
      <t xml:space="preserve">Поиск мутаций в гене CTNS </t>
    </r>
    <r>
      <rPr>
        <b/>
        <i/>
        <sz val="10"/>
        <rFont val="Times New Roman"/>
        <family val="1"/>
        <charset val="204"/>
      </rPr>
      <t>(83.19)</t>
    </r>
  </si>
  <si>
    <r>
      <t>Поиск частых мутаций в гене FBN1</t>
    </r>
    <r>
      <rPr>
        <b/>
        <i/>
        <sz val="10"/>
        <rFont val="Times New Roman"/>
        <family val="1"/>
        <charset val="204"/>
      </rPr>
      <t>(75.30)</t>
    </r>
  </si>
  <si>
    <r>
      <t xml:space="preserve">Поиск мутаций в гене GJB3 </t>
    </r>
    <r>
      <rPr>
        <b/>
        <i/>
        <sz val="10"/>
        <rFont val="Times New Roman"/>
        <family val="1"/>
        <charset val="204"/>
      </rPr>
      <t>(79.6.2)</t>
    </r>
  </si>
  <si>
    <r>
      <t xml:space="preserve">Поиск мутаций в гене GJB4 </t>
    </r>
    <r>
      <rPr>
        <b/>
        <i/>
        <sz val="10"/>
        <rFont val="Times New Roman"/>
        <family val="1"/>
        <charset val="204"/>
      </rPr>
      <t>(79.11)</t>
    </r>
  </si>
  <si>
    <r>
      <t xml:space="preserve">Поиск мутаций в гене VHL </t>
    </r>
    <r>
      <rPr>
        <b/>
        <i/>
        <sz val="10"/>
        <rFont val="Times New Roman"/>
        <family val="1"/>
        <charset val="204"/>
      </rPr>
      <t>(72.7.2)</t>
    </r>
  </si>
  <si>
    <r>
      <t xml:space="preserve">Сердечно-сосудистые заболевания 
</t>
    </r>
    <r>
      <rPr>
        <sz val="10"/>
        <rFont val="Times New Roman"/>
        <family val="1"/>
        <charset val="204"/>
      </rPr>
      <t xml:space="preserve">Генетические факторы риска развития  ишемической болезни сердца, атеросклероза, инфаркта миокарда, инсульта. Анализ наличия полиморфизмов в генах   </t>
    </r>
    <r>
      <rPr>
        <b/>
        <sz val="10"/>
        <rFont val="Times New Roman"/>
        <family val="1"/>
        <charset val="204"/>
      </rPr>
      <t>F2, F5, F7, F13A1, FGB, Серпин1(PAI-1), ITGA2-a2 интегрин, ITGB3-b интегрин, MTHFR, MTRR, MTR</t>
    </r>
  </si>
  <si>
    <r>
      <t xml:space="preserve">Артериальная гипертония </t>
    </r>
    <r>
      <rPr>
        <b/>
        <i/>
        <sz val="10"/>
        <rFont val="Times New Roman"/>
        <family val="1"/>
        <charset val="204"/>
      </rPr>
      <t xml:space="preserve">(31.9)
</t>
    </r>
    <r>
      <rPr>
        <sz val="10"/>
        <rFont val="Times New Roman"/>
        <family val="1"/>
        <charset val="204"/>
      </rPr>
      <t>Анализ наличия полиморфизмов в гене</t>
    </r>
    <r>
      <rPr>
        <b/>
        <sz val="10"/>
        <rFont val="Times New Roman"/>
        <family val="1"/>
        <charset val="204"/>
      </rPr>
      <t xml:space="preserve"> NOS3</t>
    </r>
  </si>
  <si>
    <r>
      <t xml:space="preserve">Артериальная гипертония </t>
    </r>
    <r>
      <rPr>
        <b/>
        <i/>
        <sz val="10"/>
        <rFont val="Times New Roman"/>
        <family val="1"/>
        <charset val="204"/>
      </rPr>
      <t xml:space="preserve">(32.2.1)
</t>
    </r>
    <r>
      <rPr>
        <sz val="10"/>
        <rFont val="Times New Roman"/>
        <family val="1"/>
        <charset val="204"/>
      </rPr>
      <t xml:space="preserve">Анализ наличия полиморфизмов в генах  </t>
    </r>
    <r>
      <rPr>
        <b/>
        <sz val="10"/>
        <rFont val="Times New Roman"/>
        <family val="1"/>
        <charset val="204"/>
      </rPr>
      <t>ACE</t>
    </r>
    <r>
      <rPr>
        <sz val="10"/>
        <rFont val="Times New Roman"/>
        <family val="1"/>
        <charset val="204"/>
      </rPr>
      <t xml:space="preserve"> и </t>
    </r>
    <r>
      <rPr>
        <b/>
        <sz val="10"/>
        <rFont val="Times New Roman"/>
        <family val="1"/>
        <charset val="204"/>
      </rPr>
      <t>AGT</t>
    </r>
  </si>
  <si>
    <r>
      <t xml:space="preserve">Атеросклероз  (гиперхолестеринемия) </t>
    </r>
    <r>
      <rPr>
        <b/>
        <i/>
        <sz val="10"/>
        <rFont val="Times New Roman"/>
        <family val="1"/>
        <charset val="204"/>
      </rPr>
      <t xml:space="preserve">(32.6)
</t>
    </r>
    <r>
      <rPr>
        <sz val="10"/>
        <rFont val="Times New Roman"/>
        <family val="1"/>
        <charset val="204"/>
      </rPr>
      <t>Анализ наличия полиморфизмов в гене аполипопротеина Е ApoE .</t>
    </r>
  </si>
  <si>
    <r>
      <t xml:space="preserve">Тромбозы – оптим
</t>
    </r>
    <r>
      <rPr>
        <sz val="10"/>
        <rFont val="Times New Roman"/>
        <family val="1"/>
        <charset val="204"/>
      </rPr>
      <t>Анализ наличия полиморфизмов в генах протромбина, фактора Лейдена и  реакций фолатного цикла</t>
    </r>
    <r>
      <rPr>
        <b/>
        <sz val="10"/>
        <rFont val="Times New Roman"/>
        <family val="1"/>
        <charset val="204"/>
      </rPr>
      <t xml:space="preserve">  F2, F5,  MTHFR, MTRR, MTR.</t>
    </r>
  </si>
  <si>
    <r>
      <t xml:space="preserve">Тромбозы – эконом
</t>
    </r>
    <r>
      <rPr>
        <sz val="10"/>
        <rFont val="Times New Roman"/>
        <family val="1"/>
        <charset val="204"/>
      </rPr>
      <t xml:space="preserve">Анализ наличия полиморфизмов в генах протромбина, фактора Лейдена </t>
    </r>
    <r>
      <rPr>
        <b/>
        <sz val="10"/>
        <rFont val="Times New Roman"/>
        <family val="1"/>
        <charset val="204"/>
      </rPr>
      <t>F2,F5.</t>
    </r>
  </si>
  <si>
    <r>
      <t xml:space="preserve">Тромбофилия  
</t>
    </r>
    <r>
      <rPr>
        <sz val="10"/>
        <rFont val="Times New Roman"/>
        <family val="1"/>
        <charset val="204"/>
      </rPr>
      <t>Анализ наличия полиморфизмов в генах</t>
    </r>
    <r>
      <rPr>
        <b/>
        <sz val="10"/>
        <rFont val="Times New Roman"/>
        <family val="1"/>
        <charset val="204"/>
      </rPr>
      <t xml:space="preserve"> F2, F5, F7, F13A1, FGB, Серпин1(PAI-1), ITGA2-a2 интегрин, ITGB3-b интегрин</t>
    </r>
  </si>
  <si>
    <r>
      <t>Остеопороз (</t>
    </r>
    <r>
      <rPr>
        <b/>
        <i/>
        <sz val="10"/>
        <rFont val="Times New Roman"/>
        <family val="1"/>
        <charset val="204"/>
      </rPr>
      <t>31.15)</t>
    </r>
    <r>
      <rPr>
        <b/>
        <sz val="10"/>
        <rFont val="Times New Roman"/>
        <family val="1"/>
        <charset val="204"/>
      </rPr>
      <t xml:space="preserve">
</t>
    </r>
    <r>
      <rPr>
        <sz val="10"/>
        <rFont val="Times New Roman"/>
        <family val="1"/>
        <charset val="204"/>
      </rPr>
      <t xml:space="preserve">Анализ наличия полиморфизмов в гене рецептора витамина Д </t>
    </r>
    <r>
      <rPr>
        <b/>
        <sz val="10"/>
        <rFont val="Times New Roman"/>
        <family val="1"/>
        <charset val="204"/>
      </rPr>
      <t>VDR</t>
    </r>
  </si>
  <si>
    <r>
      <t xml:space="preserve">Остеопороз </t>
    </r>
    <r>
      <rPr>
        <b/>
        <i/>
        <sz val="10"/>
        <rFont val="Times New Roman"/>
        <family val="1"/>
        <charset val="204"/>
      </rPr>
      <t>(32.16)</t>
    </r>
    <r>
      <rPr>
        <b/>
        <sz val="10"/>
        <rFont val="Times New Roman"/>
        <family val="1"/>
        <charset val="204"/>
      </rPr>
      <t xml:space="preserve">
</t>
    </r>
    <r>
      <rPr>
        <sz val="10"/>
        <rFont val="Times New Roman"/>
        <family val="1"/>
        <charset val="204"/>
      </rPr>
      <t>Анализ наличия полиморфизмов в генах коллагена</t>
    </r>
    <r>
      <rPr>
        <b/>
        <sz val="10"/>
        <rFont val="Times New Roman"/>
        <family val="1"/>
        <charset val="204"/>
      </rPr>
      <t xml:space="preserve"> COL1A1 </t>
    </r>
    <r>
      <rPr>
        <sz val="10"/>
        <rFont val="Times New Roman"/>
        <family val="1"/>
        <charset val="204"/>
      </rPr>
      <t xml:space="preserve">и кальцитонина </t>
    </r>
    <r>
      <rPr>
        <b/>
        <sz val="10"/>
        <rFont val="Times New Roman"/>
        <family val="1"/>
        <charset val="204"/>
      </rPr>
      <t>CALCR</t>
    </r>
  </si>
  <si>
    <r>
      <t xml:space="preserve">Лактазная недостаточность </t>
    </r>
    <r>
      <rPr>
        <sz val="10"/>
        <rFont val="Times New Roman"/>
        <family val="1"/>
        <charset val="204"/>
      </rPr>
      <t>(непереносимость молока)</t>
    </r>
    <r>
      <rPr>
        <b/>
        <sz val="10"/>
        <rFont val="Times New Roman"/>
        <family val="1"/>
        <charset val="204"/>
      </rPr>
      <t xml:space="preserve">
</t>
    </r>
    <r>
      <rPr>
        <sz val="10"/>
        <rFont val="Times New Roman"/>
        <family val="1"/>
        <charset val="204"/>
      </rPr>
      <t>Анализ наличия полиморфизма  в гене МСМ 6</t>
    </r>
  </si>
  <si>
    <r>
      <t xml:space="preserve">Обмен фолиевой кислоты 
</t>
    </r>
    <r>
      <rPr>
        <sz val="10"/>
        <rFont val="Times New Roman"/>
        <family val="1"/>
        <charset val="204"/>
      </rPr>
      <t>Анализ наличия полиморфизмов в генах  ферментов реакций фолатного цикла</t>
    </r>
    <r>
      <rPr>
        <b/>
        <sz val="10"/>
        <rFont val="Times New Roman"/>
        <family val="1"/>
        <charset val="204"/>
      </rPr>
      <t xml:space="preserve">  MTHFR, MTRR, MTR . </t>
    </r>
  </si>
  <si>
    <r>
      <t xml:space="preserve">Гемохроматоз  </t>
    </r>
    <r>
      <rPr>
        <b/>
        <i/>
        <sz val="10"/>
        <rFont val="Times New Roman"/>
        <family val="1"/>
        <charset val="204"/>
      </rPr>
      <t xml:space="preserve">(32.24)
</t>
    </r>
    <r>
      <rPr>
        <sz val="10"/>
        <rFont val="Times New Roman"/>
        <family val="1"/>
        <charset val="204"/>
      </rPr>
      <t xml:space="preserve">Анализ наличия полиморфизмов в гене HFE </t>
    </r>
  </si>
  <si>
    <r>
      <t xml:space="preserve">Носительство частых наследственных заболеваний </t>
    </r>
    <r>
      <rPr>
        <b/>
        <i/>
        <sz val="10"/>
        <rFont val="Times New Roman"/>
        <family val="1"/>
        <charset val="204"/>
      </rPr>
      <t xml:space="preserve">(30.1)
</t>
    </r>
    <r>
      <rPr>
        <sz val="10"/>
        <rFont val="Times New Roman"/>
        <family val="1"/>
        <charset val="204"/>
      </rPr>
      <t xml:space="preserve">Расширенный поиск мутаций для частых наследственных заболеваний. Анализ генов </t>
    </r>
    <r>
      <rPr>
        <b/>
        <sz val="10"/>
        <rFont val="Times New Roman"/>
        <family val="1"/>
        <charset val="204"/>
      </rPr>
      <t>CFTR, PAN,SMN1,GJB2</t>
    </r>
  </si>
  <si>
    <r>
      <t xml:space="preserve">Цитохром CYP2C9 </t>
    </r>
    <r>
      <rPr>
        <b/>
        <i/>
        <sz val="10"/>
        <rFont val="Times New Roman"/>
        <family val="1"/>
        <charset val="204"/>
      </rPr>
      <t xml:space="preserve">(32.18.1)
</t>
    </r>
    <r>
      <rPr>
        <sz val="10"/>
        <rFont val="Times New Roman"/>
        <family val="1"/>
        <charset val="204"/>
      </rPr>
      <t>Анализ полиморфизмов в гене цитохрома Р450, подсемейства IIC, полипептида 9 CYP2C9.</t>
    </r>
  </si>
  <si>
    <r>
      <t xml:space="preserve">N-ацетилтрансфераза 2 </t>
    </r>
    <r>
      <rPr>
        <b/>
        <i/>
        <sz val="10"/>
        <rFont val="Times New Roman"/>
        <family val="1"/>
        <charset val="204"/>
      </rPr>
      <t>(33.11.1)</t>
    </r>
    <r>
      <rPr>
        <b/>
        <sz val="10"/>
        <rFont val="Times New Roman"/>
        <family val="1"/>
        <charset val="204"/>
      </rPr>
      <t xml:space="preserve">
</t>
    </r>
    <r>
      <rPr>
        <sz val="10"/>
        <rFont val="Times New Roman"/>
        <family val="1"/>
        <charset val="204"/>
      </rPr>
      <t>Анализ полиморфизмов в гене N-ацетилтрансферазы 2 NAT2</t>
    </r>
  </si>
  <si>
    <r>
      <t xml:space="preserve">Глутатионтрансферазы </t>
    </r>
    <r>
      <rPr>
        <b/>
        <i/>
        <sz val="10"/>
        <rFont val="Times New Roman"/>
        <family val="1"/>
        <charset val="204"/>
      </rPr>
      <t>(33.10.1)</t>
    </r>
    <r>
      <rPr>
        <b/>
        <sz val="10"/>
        <rFont val="Times New Roman"/>
        <family val="1"/>
        <charset val="204"/>
      </rPr>
      <t xml:space="preserve">
</t>
    </r>
    <r>
      <rPr>
        <sz val="10"/>
        <rFont val="Times New Roman"/>
        <family val="1"/>
        <charset val="204"/>
      </rPr>
      <t>Анализ полиморфизмов в генах пи-1 глутатион-S-трансферазы, тета-1 глутатион-S-трансферазы и мю-1 глутатион-S-трансферазы GSTP1, GSTT1, GSTM1.</t>
    </r>
  </si>
  <si>
    <r>
      <t xml:space="preserve">Анализ полиморфизмов в гене CYP2D6 </t>
    </r>
    <r>
      <rPr>
        <b/>
        <i/>
        <sz val="10"/>
        <rFont val="Times New Roman"/>
        <family val="1"/>
        <charset val="204"/>
      </rPr>
      <t>(38.5)</t>
    </r>
  </si>
  <si>
    <r>
      <t xml:space="preserve">Исследование промоторной области гена UGT1A1 </t>
    </r>
    <r>
      <rPr>
        <b/>
        <i/>
        <sz val="10"/>
        <rFont val="Times New Roman"/>
        <family val="1"/>
        <charset val="204"/>
      </rPr>
      <t>(18.2)</t>
    </r>
  </si>
  <si>
    <r>
      <t>Вирусный гепатит С</t>
    </r>
    <r>
      <rPr>
        <sz val="10"/>
        <rFont val="Times New Roman"/>
        <family val="1"/>
        <charset val="204"/>
      </rPr>
      <t xml:space="preserve">                                                                                                          Поиск полиморфизмов в гене IL28B, ассоциированных с прогнозом эффективности лечения интерфероном и рибавирином</t>
    </r>
  </si>
  <si>
    <r>
      <t xml:space="preserve">Оральные (гормональные) контрацептивы 
</t>
    </r>
    <r>
      <rPr>
        <sz val="10"/>
        <rFont val="Times New Roman"/>
        <family val="1"/>
        <charset val="204"/>
      </rPr>
      <t>Генетические факторы риска развития тромбофилии при приёме гормональных контрацептивов. Анализ наличия полиморфизмов в генах протромбина и фактора Лейден</t>
    </r>
    <r>
      <rPr>
        <b/>
        <sz val="10"/>
        <rFont val="Times New Roman"/>
        <family val="1"/>
        <charset val="204"/>
      </rPr>
      <t xml:space="preserve">  F2, F5.</t>
    </r>
  </si>
  <si>
    <r>
      <t>Эффективность терапии варфарином</t>
    </r>
    <r>
      <rPr>
        <sz val="10"/>
        <rFont val="Times New Roman"/>
        <family val="1"/>
        <charset val="204"/>
      </rPr>
      <t xml:space="preserve"> </t>
    </r>
    <r>
      <rPr>
        <b/>
        <i/>
        <sz val="10"/>
        <rFont val="Times New Roman"/>
        <family val="1"/>
        <charset val="204"/>
      </rPr>
      <t>(38.1)</t>
    </r>
    <r>
      <rPr>
        <sz val="10"/>
        <rFont val="Times New Roman"/>
        <family val="1"/>
        <charset val="204"/>
      </rPr>
      <t xml:space="preserve">
Анализ наличия полиморфизмов в генах, влияющих на подбор индивидуальной дозы варфарина, </t>
    </r>
    <r>
      <rPr>
        <b/>
        <sz val="10"/>
        <rFont val="Times New Roman"/>
        <family val="1"/>
        <charset val="204"/>
      </rPr>
      <t>CYP2C9,CYP4F2,VKORC1, GGCX</t>
    </r>
  </si>
  <si>
    <r>
      <t>Аспирин, плавикс. Резистентность к антиагрегантной терапии.</t>
    </r>
    <r>
      <rPr>
        <b/>
        <i/>
        <sz val="10"/>
        <rFont val="Times New Roman"/>
        <family val="1"/>
        <charset val="204"/>
      </rPr>
      <t xml:space="preserve"> (31.10.1)</t>
    </r>
    <r>
      <rPr>
        <b/>
        <sz val="10"/>
        <rFont val="Times New Roman"/>
        <family val="1"/>
        <charset val="204"/>
      </rPr>
      <t xml:space="preserve">
</t>
    </r>
    <r>
      <rPr>
        <sz val="10"/>
        <rFont val="Times New Roman"/>
        <family val="1"/>
        <charset val="204"/>
      </rPr>
      <t>Анализ полиморфизмов в гене</t>
    </r>
    <r>
      <rPr>
        <b/>
        <sz val="10"/>
        <rFont val="Times New Roman"/>
        <family val="1"/>
        <charset val="204"/>
      </rPr>
      <t xml:space="preserve"> ITGB3</t>
    </r>
  </si>
  <si>
    <r>
      <t xml:space="preserve">Онкологические заболевания, связанные с курением </t>
    </r>
    <r>
      <rPr>
        <b/>
        <i/>
        <sz val="10"/>
        <rFont val="Times New Roman"/>
        <family val="1"/>
        <charset val="204"/>
      </rPr>
      <t>(33.10.2; 33.11.2)</t>
    </r>
    <r>
      <rPr>
        <b/>
        <sz val="10"/>
        <rFont val="Times New Roman"/>
        <family val="1"/>
        <charset val="204"/>
      </rPr>
      <t xml:space="preserve">
</t>
    </r>
    <r>
      <rPr>
        <sz val="10"/>
        <rFont val="Times New Roman"/>
        <family val="1"/>
        <charset val="204"/>
      </rPr>
      <t>Анализ полиморфизмов в генах пи-1 глутатион-S-трансферазы, тета-1 глутатион-S-трансферазы, мю-1 глутатион-S-трансферазы, N-ацетилтрансферазы</t>
    </r>
    <r>
      <rPr>
        <b/>
        <sz val="10"/>
        <rFont val="Times New Roman"/>
        <family val="1"/>
        <charset val="204"/>
      </rPr>
      <t xml:space="preserve"> GSTP1, GSTT1, GSTM1, 2 NAT2</t>
    </r>
  </si>
  <si>
    <r>
      <t xml:space="preserve">Риск развития онкологических заболеваний (в том числе наследственный рак молочной железы и яичников) по 2-м генам
</t>
    </r>
    <r>
      <rPr>
        <sz val="10"/>
        <rFont val="Times New Roman"/>
        <family val="1"/>
        <charset val="204"/>
      </rPr>
      <t>Поиск частых  мутаций в генах, ответственных за семейную форму рака молочной железы</t>
    </r>
    <r>
      <rPr>
        <b/>
        <sz val="10"/>
        <rFont val="Times New Roman"/>
        <family val="1"/>
        <charset val="204"/>
      </rPr>
      <t xml:space="preserve"> BRCA1, BRCA2 (1 чел)</t>
    </r>
  </si>
  <si>
    <r>
      <t xml:space="preserve">Семейный медуллярный рак щитовидной железы </t>
    </r>
    <r>
      <rPr>
        <b/>
        <i/>
        <sz val="10"/>
        <rFont val="Times New Roman"/>
        <family val="1"/>
        <charset val="204"/>
      </rPr>
      <t>(79.27)</t>
    </r>
    <r>
      <rPr>
        <b/>
        <sz val="10"/>
        <rFont val="Times New Roman"/>
        <family val="1"/>
        <charset val="204"/>
      </rPr>
      <t xml:space="preserve">
</t>
    </r>
    <r>
      <rPr>
        <sz val="10"/>
        <rFont val="Times New Roman"/>
        <family val="1"/>
        <charset val="204"/>
      </rPr>
      <t>Поиск  редких мутаций в экзонах 5, 8 гена</t>
    </r>
    <r>
      <rPr>
        <b/>
        <sz val="10"/>
        <rFont val="Times New Roman"/>
        <family val="1"/>
        <charset val="204"/>
      </rPr>
      <t xml:space="preserve"> RET</t>
    </r>
  </si>
  <si>
    <r>
      <t xml:space="preserve">Семейный медуллярный рак щитовидной железы </t>
    </r>
    <r>
      <rPr>
        <b/>
        <i/>
        <sz val="10"/>
        <rFont val="Times New Roman"/>
        <family val="1"/>
        <charset val="204"/>
      </rPr>
      <t>(77.11.1)</t>
    </r>
    <r>
      <rPr>
        <b/>
        <sz val="10"/>
        <rFont val="Times New Roman"/>
        <family val="1"/>
        <charset val="204"/>
      </rPr>
      <t xml:space="preserve">
</t>
    </r>
    <r>
      <rPr>
        <sz val="10"/>
        <rFont val="Times New Roman"/>
        <family val="1"/>
        <charset val="204"/>
      </rPr>
      <t>Поиск  мутаций в экзонах 10,11,13,14,15 гена</t>
    </r>
    <r>
      <rPr>
        <b/>
        <sz val="10"/>
        <rFont val="Times New Roman"/>
        <family val="1"/>
        <charset val="204"/>
      </rPr>
      <t xml:space="preserve"> RET</t>
    </r>
  </si>
  <si>
    <r>
      <t xml:space="preserve">Синдром множественной эндокринной неоплазии 2А типа (МЭН 2А)
</t>
    </r>
    <r>
      <rPr>
        <b/>
        <i/>
        <sz val="10"/>
        <rFont val="Times New Roman"/>
        <family val="1"/>
        <charset val="204"/>
      </rPr>
      <t xml:space="preserve">(79.4) </t>
    </r>
    <r>
      <rPr>
        <b/>
        <sz val="10"/>
        <rFont val="Times New Roman"/>
        <family val="1"/>
        <charset val="204"/>
      </rPr>
      <t xml:space="preserve">
</t>
    </r>
    <r>
      <rPr>
        <sz val="10"/>
        <rFont val="Times New Roman"/>
        <family val="1"/>
        <charset val="204"/>
      </rPr>
      <t>Поиск наиболее частых мутаций в экзонах 10, 11 гена RET при  MЭH2A.</t>
    </r>
  </si>
  <si>
    <r>
      <t xml:space="preserve">Синдром множественной эндокринной неоплазии 2А типа (МЭН 2А)
</t>
    </r>
    <r>
      <rPr>
        <b/>
        <i/>
        <sz val="10"/>
        <rFont val="Times New Roman"/>
        <family val="1"/>
        <charset val="204"/>
      </rPr>
      <t>(79.24)</t>
    </r>
    <r>
      <rPr>
        <b/>
        <sz val="10"/>
        <rFont val="Times New Roman"/>
        <family val="1"/>
        <charset val="204"/>
      </rPr>
      <t xml:space="preserve">
</t>
    </r>
    <r>
      <rPr>
        <sz val="10"/>
        <rFont val="Times New Roman"/>
        <family val="1"/>
        <charset val="204"/>
      </rPr>
      <t xml:space="preserve"> Поиск  мутаций в экзонах 13, 14 гена RET при  MЭH2A.</t>
    </r>
  </si>
  <si>
    <r>
      <t xml:space="preserve">Синдром множественной эндокринной неоплазии 2В типа (МЭН 2В)
</t>
    </r>
    <r>
      <rPr>
        <b/>
        <i/>
        <sz val="10"/>
        <rFont val="Times New Roman"/>
        <family val="1"/>
        <charset val="204"/>
      </rPr>
      <t>(2.28)</t>
    </r>
    <r>
      <rPr>
        <b/>
        <sz val="10"/>
        <rFont val="Times New Roman"/>
        <family val="1"/>
        <charset val="204"/>
      </rPr>
      <t xml:space="preserve">
</t>
    </r>
    <r>
      <rPr>
        <sz val="10"/>
        <rFont val="Times New Roman"/>
        <family val="1"/>
        <charset val="204"/>
      </rPr>
      <t xml:space="preserve"> Поиск наиболее частых мутаций в гене RET при  MЭH2В.</t>
    </r>
  </si>
  <si>
    <r>
      <t>Анализ числа (CAG)-повторов в гене андрогенового рецептора (AR), частые делеции в AZF локусе, частые мутации в гене</t>
    </r>
    <r>
      <rPr>
        <b/>
        <sz val="10"/>
        <rFont val="Times New Roman"/>
        <family val="1"/>
        <charset val="204"/>
      </rPr>
      <t xml:space="preserve"> CFTR (22 шт.+IVS8TT) </t>
    </r>
    <r>
      <rPr>
        <sz val="10"/>
        <rFont val="Times New Roman"/>
        <family val="1"/>
        <charset val="204"/>
      </rPr>
      <t xml:space="preserve">(1 чел.)
</t>
    </r>
    <r>
      <rPr>
        <b/>
        <i/>
        <sz val="10"/>
        <rFont val="Times New Roman"/>
        <family val="1"/>
        <charset val="204"/>
      </rPr>
      <t>(37.1)</t>
    </r>
  </si>
  <si>
    <r>
      <t xml:space="preserve">Поиск наиболее частых мутаций в гене </t>
    </r>
    <r>
      <rPr>
        <b/>
        <sz val="10"/>
        <rFont val="Times New Roman"/>
        <family val="1"/>
        <charset val="204"/>
      </rPr>
      <t>CFTR</t>
    </r>
    <r>
      <rPr>
        <sz val="10"/>
        <rFont val="Times New Roman"/>
        <family val="1"/>
        <charset val="204"/>
      </rPr>
      <t xml:space="preserve"> при бесплодии </t>
    </r>
    <r>
      <rPr>
        <b/>
        <sz val="10"/>
        <rFont val="Times New Roman"/>
        <family val="1"/>
        <charset val="204"/>
      </rPr>
      <t>(22 шт +IVS8TT)</t>
    </r>
    <r>
      <rPr>
        <sz val="10"/>
        <rFont val="Times New Roman"/>
        <family val="1"/>
        <charset val="204"/>
      </rPr>
      <t xml:space="preserve"> (1 чел) </t>
    </r>
    <r>
      <rPr>
        <b/>
        <i/>
        <sz val="10"/>
        <rFont val="Times New Roman"/>
        <family val="1"/>
        <charset val="204"/>
      </rPr>
      <t xml:space="preserve">(1.21) </t>
    </r>
  </si>
  <si>
    <r>
      <rPr>
        <b/>
        <sz val="10"/>
        <rFont val="Times New Roman"/>
        <family val="1"/>
        <charset val="204"/>
      </rPr>
      <t>Неинвазивный пренатальный ДНК-тест (НИПТ) Panorama. Стандартная панель.</t>
    </r>
    <r>
      <rPr>
        <sz val="10"/>
        <rFont val="Times New Roman"/>
        <family val="1"/>
        <charset val="204"/>
      </rPr>
      <t xml:space="preserve">
Одноплодная беременность - Синдром Дауна (трисомия 21), Эдвардса (трисомия 18), Патау (трисомия 13), Моносомия Х, Трисомия половых хромосом, Триплодия, Пол плода
Многоплодная беременность - Синдром Дауна (трисомия 21), Эдвардса (трисомия 18), Патау (трисомия 13), Моносомия Х (только для монозиготной двойни), Трисомия половых хромосом, Пол плода (для каждого плода)</t>
    </r>
  </si>
  <si>
    <r>
      <rPr>
        <b/>
        <sz val="10"/>
        <rFont val="Times New Roman"/>
        <family val="1"/>
        <charset val="204"/>
      </rPr>
      <t>Неинвазивный пренатальный ДНК-тест (НИПТ) Panorama. Стандартная панель + синдром делеции 22q.11.2</t>
    </r>
    <r>
      <rPr>
        <sz val="10"/>
        <rFont val="Times New Roman"/>
        <family val="1"/>
        <charset val="204"/>
      </rPr>
      <t xml:space="preserve">
</t>
    </r>
    <r>
      <rPr>
        <b/>
        <i/>
        <sz val="10"/>
        <rFont val="Times New Roman"/>
        <family val="1"/>
        <charset val="204"/>
      </rPr>
      <t>Одноплодная беременность</t>
    </r>
    <r>
      <rPr>
        <sz val="10"/>
        <rFont val="Times New Roman"/>
        <family val="1"/>
        <charset val="204"/>
      </rPr>
      <t xml:space="preserve"> - Синдром Дауна (трисомия 21), Эдвардса (трисомия 18), Патау (трисомия 13), Моносомия Х, Трисомия половых хромосом, Триплодия, Пол плода, микроделеционный синдром 22q11.2 (Ди Джоржи)
</t>
    </r>
    <r>
      <rPr>
        <b/>
        <i/>
        <sz val="10"/>
        <rFont val="Times New Roman"/>
        <family val="1"/>
        <charset val="204"/>
      </rPr>
      <t>Многоплодная беременность(только для монозиготной двойни)</t>
    </r>
    <r>
      <rPr>
        <sz val="10"/>
        <rFont val="Times New Roman"/>
        <family val="1"/>
        <charset val="204"/>
      </rPr>
      <t xml:space="preserve"> - Синдром Дауна (трисомия 21), Эдвардса (трисомия 18), Патау (трисомия 13), Моносомия Х (только для монозиготной двойни), Трисомия половых хромосом, Пол плода (для каждого плода), микроделеционный синдром 22q11.2 (Ди Джоржи)</t>
    </r>
  </si>
  <si>
    <r>
      <rPr>
        <b/>
        <sz val="10"/>
        <rFont val="Times New Roman"/>
        <family val="1"/>
        <charset val="204"/>
      </rPr>
      <t>Неинвазивный пренатальный ДНК-тест (НИПТ) Panorama. Расширенная панель.</t>
    </r>
    <r>
      <rPr>
        <sz val="10"/>
        <rFont val="Times New Roman"/>
        <family val="1"/>
        <charset val="204"/>
      </rPr>
      <t xml:space="preserve">
Одноплодная беременность - Синдром Дауна (трисомия 21), Эдвардса (трисомия 18), Патау (трисомия 13), Моносомия Х, Трисомия половых хромосом, Триплодия, Пол плода, Синдромы Ангельмана, кошачьего крика, Прадера-Вилли, микроделеционный синдром 22q11.2 (Ди Джоржи), делеция 1р36</t>
    </r>
  </si>
  <si>
    <r>
      <rPr>
        <b/>
        <sz val="10"/>
        <rFont val="Times New Roman"/>
        <family val="1"/>
        <charset val="204"/>
      </rPr>
      <t>Неинвазивный пренатальный ДНК-тест (НИПТ) «HARMONY».</t>
    </r>
    <r>
      <rPr>
        <sz val="10"/>
        <rFont val="Times New Roman"/>
        <family val="1"/>
        <charset val="204"/>
      </rPr>
      <t xml:space="preserve"> Скрининг хромосом: 13, 18, 21, Х и Y при двуплодной беременности, донорской яйцеклетке, суррогатном материнстве.</t>
    </r>
  </si>
  <si>
    <r>
      <t xml:space="preserve">Посев на микрофлору и определение чувствительности к антибиотикам.
</t>
    </r>
    <r>
      <rPr>
        <sz val="10"/>
        <rFont val="Times New Roman"/>
        <family val="1"/>
        <charset val="204"/>
      </rPr>
      <t xml:space="preserve">Включает бактериологическое исследование биоматериала, выделение и идентификацию до вида этиологически значимого возбудителя. При обнаружении роста в титре, имеющем диагностическое значение, проводится  определение антибиотикочувствительности. </t>
    </r>
  </si>
  <si>
    <r>
      <t xml:space="preserve">Посев на микрофлору, в том числе на грибы рода Candida и определение чувствительности к антибиотикам и антимикотическим препаратам.
</t>
    </r>
    <r>
      <rPr>
        <sz val="10"/>
        <rFont val="Times New Roman"/>
        <family val="1"/>
        <charset val="204"/>
      </rPr>
      <t xml:space="preserve">Включает бактериологическое исследование биоматериала, выделение и идентификацию до вида этиологически значимого возбудителя. При обнаружении роста в титре, имеющем диагностическое значение, проводится  определение чувствительности к антибиотикам и антимикотическим препаратам. </t>
    </r>
  </si>
  <si>
    <r>
      <t>Посев на Candida и определение  чувствительности к антимикотическим препаратам</t>
    </r>
    <r>
      <rPr>
        <sz val="10"/>
        <rFont val="Times New Roman"/>
        <family val="1"/>
        <charset val="204"/>
      </rPr>
      <t>.
Включает бактериологическое исследование биоматериала, выделение и идентификацию до вида этиологически значимого возбудителя,  определение чувствительности к антимикотическим препаратам.</t>
    </r>
  </si>
  <si>
    <r>
      <t>Посев на Candida без определения  чувствительности к антимикотическим препаратам</t>
    </r>
    <r>
      <rPr>
        <sz val="10"/>
        <rFont val="Times New Roman"/>
        <family val="1"/>
        <charset val="204"/>
      </rPr>
      <t>.
Включает бактериологическое исследование биоматериала, выделение и идентификацию до вида этиологически значимого возбудителя.</t>
    </r>
  </si>
  <si>
    <r>
      <t xml:space="preserve">Посев на Candida и определение  чувствительности к антимикотическим препаратам.    
</t>
    </r>
    <r>
      <rPr>
        <sz val="10"/>
        <rFont val="Times New Roman"/>
        <family val="1"/>
        <charset val="204"/>
      </rPr>
      <t>Включает бактериологическое исследование биоматериала, выделение и идентификацию до вида этиологически значимого возбудителя,  определение чувствительности к антимикотическим препаратам.</t>
    </r>
  </si>
  <si>
    <r>
      <t xml:space="preserve">Посев на Candida и определение  чувствительности к антимикотическим препаратам.
</t>
    </r>
    <r>
      <rPr>
        <sz val="10"/>
        <rFont val="Times New Roman"/>
        <family val="1"/>
        <charset val="204"/>
      </rPr>
      <t>Включает бактериологическое исследование биоматериала, выделение и идентификацию до вида этиологически значимого возбудителя,  определение чувствительности к антимикотическим препаратам.</t>
    </r>
  </si>
  <si>
    <r>
      <t xml:space="preserve">Посев на Candida без определения  чувствительности к антимикотическим препаратам.
</t>
    </r>
    <r>
      <rPr>
        <sz val="10"/>
        <rFont val="Times New Roman"/>
        <family val="1"/>
        <charset val="204"/>
      </rPr>
      <t>Включает бактериологическое исследование биоматериала, выделение и идентификацию до вида этиологически значимого возбудителя.</t>
    </r>
  </si>
  <si>
    <r>
      <t xml:space="preserve">Посев на микрофлору и определение чувствительности к антибиотикам.
</t>
    </r>
    <r>
      <rPr>
        <sz val="10"/>
        <rFont val="Times New Roman"/>
        <family val="1"/>
        <charset val="204"/>
      </rPr>
      <t xml:space="preserve">Включает бактериологическое исследование биоматериала, выделение и идентификацию до вида этиологически значимого возбудителя. При                    обнаружении роста в титре, имеющем диагностическое значение, проводится  определение антибиотикочувствительности. </t>
    </r>
  </si>
  <si>
    <r>
      <t xml:space="preserve">Посев на Candida и определение  чувствительности к антимикотическим препаратам
</t>
    </r>
    <r>
      <rPr>
        <sz val="10"/>
        <rFont val="Times New Roman"/>
        <family val="1"/>
        <charset val="204"/>
      </rPr>
      <t>Включает бактериологическое исследование биоматериала, выделение и идентификацию до вида этиологически значимого возбудителя,  определение чувствительности к антимикотическим препаратам.</t>
    </r>
  </si>
  <si>
    <r>
      <t xml:space="preserve">Посев на Candida и определение  чувствительности к антимикотическим препаратам. </t>
    </r>
    <r>
      <rPr>
        <sz val="10"/>
        <rFont val="Times New Roman"/>
        <family val="1"/>
        <charset val="204"/>
      </rPr>
      <t>Включает бактериологическое исследование биоматериала, выделение и идентификацию до вида этиологически значимого возбудителя, определение чувствительности к антимикотическим препаратам.</t>
    </r>
  </si>
  <si>
    <r>
      <t xml:space="preserve">Посев на Candida и определение  чувствительности к антимикотическим препаратам. 
</t>
    </r>
    <r>
      <rPr>
        <sz val="10"/>
        <rFont val="Times New Roman"/>
        <family val="1"/>
        <charset val="204"/>
      </rPr>
      <t>Включает бактериологическое исследование биоматериала, выделение и идентификацию до вида этиологически значимого возбудителя,  определение чувствительности к антимикотическим препаратам.</t>
    </r>
  </si>
  <si>
    <r>
      <t xml:space="preserve">Кардиориск </t>
    </r>
    <r>
      <rPr>
        <sz val="10"/>
        <rFont val="Times New Roman"/>
        <family val="1"/>
        <charset val="204"/>
      </rPr>
      <t>(АСТ, АЛТ, ЛДГ,КФК,С-РБ, K/Na/Cl, холестерин -ЛПНВ, холестерин - ЛПВП, холестерин, триглицериды, индекс атерогенности, Apo A1, Apo B, глюкоза, фибриноген, протромбин, МНО)</t>
    </r>
  </si>
  <si>
    <r>
      <t xml:space="preserve">Липидный статус </t>
    </r>
    <r>
      <rPr>
        <sz val="10"/>
        <rFont val="Times New Roman"/>
        <family val="1"/>
        <charset val="204"/>
      </rPr>
      <t>(холестерин общий, холестерин-ЛПНВ, холестерин -ЛПВП, триглицериды, апо А1, апо В, индекс атерогенности, липопротеин</t>
    </r>
    <r>
      <rPr>
        <b/>
        <sz val="10"/>
        <rFont val="Times New Roman"/>
        <family val="1"/>
        <charset val="204"/>
      </rPr>
      <t xml:space="preserve"> </t>
    </r>
    <r>
      <rPr>
        <sz val="10"/>
        <rFont val="Times New Roman"/>
        <family val="1"/>
        <charset val="204"/>
      </rPr>
      <t>А)</t>
    </r>
  </si>
  <si>
    <r>
      <t>Ревмопробы</t>
    </r>
    <r>
      <rPr>
        <sz val="10"/>
        <rFont val="Times New Roman"/>
        <family val="1"/>
        <charset val="204"/>
      </rPr>
      <t xml:space="preserve">  (СРБ, РФ, антистрептолизин-О,альбумин, общий белок, мочевая кислота, общий анализ крови с формулой, СОЭ)</t>
    </r>
  </si>
  <si>
    <r>
      <t xml:space="preserve">Обследование почек
</t>
    </r>
    <r>
      <rPr>
        <sz val="10"/>
        <rFont val="Times New Roman"/>
        <family val="1"/>
        <charset val="204"/>
      </rPr>
      <t>(креатинин, мочевина, кальций, K/Na/Cl,  магний, фосфор, общий анализ мочи, цистатин</t>
    </r>
    <r>
      <rPr>
        <b/>
        <sz val="10"/>
        <rFont val="Times New Roman"/>
        <family val="1"/>
        <charset val="204"/>
      </rPr>
      <t xml:space="preserve"> </t>
    </r>
    <r>
      <rPr>
        <sz val="10"/>
        <rFont val="Times New Roman"/>
        <family val="1"/>
        <charset val="204"/>
      </rPr>
      <t>С)</t>
    </r>
  </si>
  <si>
    <r>
      <t xml:space="preserve">Панкреатический
</t>
    </r>
    <r>
      <rPr>
        <sz val="10"/>
        <rFont val="Times New Roman"/>
        <family val="1"/>
        <charset val="204"/>
      </rPr>
      <t>(липаза, амилаза панкреатическая)</t>
    </r>
  </si>
  <si>
    <r>
      <t xml:space="preserve">Биохимия крови
</t>
    </r>
    <r>
      <rPr>
        <sz val="10"/>
        <rFont val="Times New Roman"/>
        <family val="1"/>
        <charset val="204"/>
      </rPr>
      <t xml:space="preserve"> (АСТ, АЛТ, Г-ГТП, общий билирубин, прямой билирубин,  K/Na/Cl, холестерин, общий белок, щелочная фосфотаза, глюкоза, мочевина, креатинин)</t>
    </r>
  </si>
  <si>
    <r>
      <t xml:space="preserve">Диабетический 
</t>
    </r>
    <r>
      <rPr>
        <sz val="10"/>
        <rFont val="Times New Roman"/>
        <family val="1"/>
        <charset val="204"/>
      </rPr>
      <t xml:space="preserve"> (глюкоза, гликированный гемоглобин, с-пептид)</t>
    </r>
  </si>
  <si>
    <r>
      <t xml:space="preserve">Обследование щитовидной железы
</t>
    </r>
    <r>
      <rPr>
        <sz val="10"/>
        <rFont val="Times New Roman"/>
        <family val="1"/>
        <charset val="204"/>
      </rPr>
      <t xml:space="preserve">  (ТТГ, Т3 свободный, Т4 свободный, АТ-ТГ, АТ-ТПО)</t>
    </r>
  </si>
  <si>
    <r>
      <t xml:space="preserve">Госпитализация в стационар (стандарт)
</t>
    </r>
    <r>
      <rPr>
        <sz val="10"/>
        <rFont val="Times New Roman"/>
        <family val="1"/>
        <charset val="204"/>
      </rPr>
      <t xml:space="preserve">(АСТ, АЛТ, K/Na/Cl, общий билирубин, прямой билирубин, Г-ГТП, глюкоза, креатинин, общий анализ крови с формулой, мочевина, общий анализ мочи, общий белок, сифилис, фосфатаза щелочная, гепатит С (anti-HCV) , гепатит В(HBsAg), ВИЧ) </t>
    </r>
  </si>
  <si>
    <r>
      <t>Онкологический (женский)</t>
    </r>
    <r>
      <rPr>
        <sz val="10"/>
        <rFont val="Times New Roman"/>
        <family val="1"/>
        <charset val="204"/>
      </rPr>
      <t xml:space="preserve">
 (CA 125,CA 15-3, CA 19-9, РЭА)</t>
    </r>
  </si>
  <si>
    <r>
      <t>Онкологический (мужской</t>
    </r>
    <r>
      <rPr>
        <sz val="10"/>
        <rFont val="Times New Roman"/>
        <family val="1"/>
        <charset val="204"/>
      </rPr>
      <t>) 
(CA 19-9, РЭА, ПСА, ПСА свободный)</t>
    </r>
  </si>
  <si>
    <r>
      <t xml:space="preserve">Планирование беременности
</t>
    </r>
    <r>
      <rPr>
        <sz val="10"/>
        <rFont val="Times New Roman"/>
        <family val="1"/>
        <charset val="204"/>
      </rPr>
      <t xml:space="preserve"> (сифилис (суммарные антитела), гепатит В (HBsAg), гепатит С(anti-HCV), токсоплазмоз IgG,  IgМ, краснуха IgG, IgМ, цитомегаловирус IgG, IgМ , герпес IgG, IgМ , микоплазма IgG, IgА, уреаплазма IgG, IgА, хламидии IgG, IgА, ОАК +лейкоцитарная формула,  группа крови, резус-фактор, АЛТ, АСТ, общий билирубин, глюкоза, креатинин, мочевина,  общий белок, K/Na/C,  кальций, ФСГ, ЛГ, пролактин, эстрадиол,  ТТГ, тестостерон, ДГЭА, общий анализ мочи)</t>
    </r>
  </si>
  <si>
    <r>
      <t xml:space="preserve">Активность воспаления 
</t>
    </r>
    <r>
      <rPr>
        <sz val="10"/>
        <rFont val="Times New Roman"/>
        <family val="1"/>
        <charset val="204"/>
      </rPr>
      <t>(СРБ, церулоплазмин, гаптоглобин, общий анализ крови с формулой, СОЭ)</t>
    </r>
  </si>
  <si>
    <r>
      <t xml:space="preserve">Обследование для женщин (эконом)
</t>
    </r>
    <r>
      <rPr>
        <sz val="10"/>
        <rFont val="Times New Roman"/>
        <family val="1"/>
        <charset val="204"/>
      </rPr>
      <t>(общий анализ крови с формулой, общий анализ мочи, АСТ, АЛТ, общий билирубин, общий холестерин, общий белок, глюкоза, креатинин, K/Na/Cl, железо, ТТГ,  гепатит В (HBsAg), гепатит С(anti-HCV))</t>
    </r>
  </si>
  <si>
    <r>
      <t xml:space="preserve">Обследование для женщин (оптимальный)
</t>
    </r>
    <r>
      <rPr>
        <sz val="10"/>
        <rFont val="Times New Roman"/>
        <family val="1"/>
        <charset val="204"/>
      </rPr>
      <t xml:space="preserve"> (ОАК с формулой, общий анализ мочи, АСТ, АЛТ, общий билирубин,  общий холестерин, общий белок, щелочная фосфотаза, глюкоза, мочевина, креатинин, железо, K/Na/Cl, Г-ГТП, , альбумин, холестерин-ЛПНП, холестерин-ЛПВП, триглицериды, С-РБ, ТТГ, гепатит В (HBsAg), гепатит С(anti-HCV))</t>
    </r>
  </si>
  <si>
    <r>
      <t>VIP- обследования для женщин</t>
    </r>
    <r>
      <rPr>
        <sz val="10"/>
        <rFont val="Times New Roman"/>
        <family val="1"/>
        <charset val="204"/>
      </rPr>
      <t xml:space="preserve"> 
(протромбин, фибриноген, ОАК с формулой, АЛТ, АСТ, Г-ГТП, общий билирубин, прямой билирубин, глюкоза, креатинин, ЛДГ, K/Na/Cl, мочевина, мочевая кислота, общий белок, щелочная фосфотаза, триглицериды,  холестерин -ЛПНВ, холестерин - ЛПВП, холестерин общий, индекс атерогенности, магний, фосфор, кальций, СРБ, РФ, железо, трансферрин, ферритин, ТТГ,  АТ-ТПО, пролактин, тестостерон, сифилис (суммарные антитела), гепатит В (HBsAg), гепатит С (anti-HCV), хламидии IgG, IgА, микоплазма IgG, IgА, уреаплазма IgG, IgА, токсоплазмоз IgG, IgМ, ОАМ)</t>
    </r>
  </si>
  <si>
    <r>
      <t xml:space="preserve">Обследование для мужчин (эконом)
</t>
    </r>
    <r>
      <rPr>
        <sz val="10"/>
        <rFont val="Times New Roman"/>
        <family val="1"/>
        <charset val="204"/>
      </rPr>
      <t>(общий анализ крови с формулой, общий анализ мочи, АСТ, АЛТ, общий билирубин, общий холестерин, общий белок, глюкоза, креатинин,  K/Na/Cl, гепатит В (HBsAg), гепатит С(anti-HCV))</t>
    </r>
  </si>
  <si>
    <r>
      <t xml:space="preserve">Обследование для мужчин (оптимальный)
</t>
    </r>
    <r>
      <rPr>
        <sz val="10"/>
        <rFont val="Times New Roman"/>
        <family val="1"/>
        <charset val="204"/>
      </rPr>
      <t xml:space="preserve"> (общий анализ крови с формулой, общий анализ мочи, АСТ, АЛТ, общий билирубин, K/Na/Cl, общий холестерин, общий белок, щелочная фосфотаза, глюкоза, мочевина, креатинин,  Г-ГТП, альбумин, холестерин ЛПВП, холестерин-ЛПНП, триглицериды, С-РБ, ТТГ,  ПСА общий, гепатит В (HBsAg), гепатит С(anti-HCV))</t>
    </r>
  </si>
  <si>
    <r>
      <t xml:space="preserve">VIP- обследования для мужчин  
</t>
    </r>
    <r>
      <rPr>
        <sz val="10"/>
        <rFont val="Times New Roman"/>
        <family val="1"/>
        <charset val="204"/>
      </rPr>
      <t>(протромбин, фибриноген, общий анализ крови, АЛТ, АСТ, Г-ГТП, общий билирубин, прямой билирубин, глюкоза, креатинин, ЛДГ, K/Na/Cl, мочевина, мочевая кислота, общий белок, щелочная фосфотаза, триглицериды,  холестерин -ЛПНВ, холестерин - ЛПВП, холестерин общий, индекс атерогенности, магний, фосфор, кальций, СРБ, РФ, железо, трансферрин, ферритин, ТТГ,  АТ-ТПО, тестостерон, ПСА общий, ПСА свободный, гепатит В (HBsAg), сифилис (суммарные антитела), гепатит С (anti-HCV), хламидии IgG, IgА, уреаплазма IgG, IgА, микоплазма IgG,  IgА, общий анализ мочи)</t>
    </r>
  </si>
  <si>
    <r>
      <rPr>
        <b/>
        <sz val="10"/>
        <rFont val="Times New Roman"/>
        <family val="1"/>
        <charset val="204"/>
      </rPr>
      <t>Здоровый ребенок (эконом)</t>
    </r>
    <r>
      <rPr>
        <sz val="10"/>
        <rFont val="Times New Roman"/>
        <family val="1"/>
        <charset val="204"/>
      </rPr>
      <t xml:space="preserve">
 (общий анализ крови с формулой, общий анализ мочи, АЛТ, АСТ, общий билирубин, глюкоза, креатинин, мочевина, общий белок, железо, ТТГ)</t>
    </r>
  </si>
  <si>
    <r>
      <t xml:space="preserve">Здоровый ребенок (оптимальный) 
 </t>
    </r>
    <r>
      <rPr>
        <sz val="10"/>
        <rFont val="Times New Roman"/>
        <family val="1"/>
        <charset val="204"/>
      </rPr>
      <t>(общий анализ крови с формулой, общий анализ мочи, АЛТ, АСТ, общий билирубин, прямой билирубин, глюкоза, креатинин, мочевина, общий белок, альбумин, железо, ферритин, K/Na/Cl,ТТГ, Анти-ТПО)</t>
    </r>
  </si>
  <si>
    <r>
      <t xml:space="preserve">Госпитализация в стационар (инфекции)
</t>
    </r>
    <r>
      <rPr>
        <sz val="10"/>
        <rFont val="Times New Roman"/>
        <family val="1"/>
        <charset val="204"/>
      </rPr>
      <t>(ВИЧ, сифилис(суммарные антитела), гепатит В(HBsAg), гепатит С(anti-HCV)</t>
    </r>
  </si>
  <si>
    <r>
      <t xml:space="preserve">Паразитарные инфекции  
</t>
    </r>
    <r>
      <rPr>
        <sz val="10"/>
        <rFont val="Times New Roman"/>
        <family val="1"/>
        <charset val="204"/>
      </rPr>
      <t>(токсокары, трихинеллы, описторхисы, эхинококки, аскариды, лямблии суммарные)</t>
    </r>
  </si>
  <si>
    <r>
      <t xml:space="preserve">Здоровая печень
 </t>
    </r>
    <r>
      <rPr>
        <sz val="10"/>
        <rFont val="Times New Roman"/>
        <family val="1"/>
        <charset val="204"/>
      </rPr>
      <t>(АЛТ, АСТ, Г-ГТП, щелочная фосфотаза, общий билирубин, прямой билирубин, общий белок, альбумин, холинэстераза, протромбин, МНО, гепатит В (HBs-Ag, маркеры), гепатит С (anti-HCV)</t>
    </r>
  </si>
  <si>
    <r>
      <t xml:space="preserve">Случайная связь (метод ПЦР) 
</t>
    </r>
    <r>
      <rPr>
        <sz val="10"/>
        <rFont val="Times New Roman"/>
        <family val="1"/>
        <charset val="204"/>
      </rPr>
      <t xml:space="preserve">(хламидия трахоматис, микоплазма хоминис/гениталиум, трихомонада, гарднерелла, нейсерия гонорея, уреаплазма парвум/уреалитикум, вирус папилломы человека ВКР (генотипы 16,18,31,33,35,39,45,51,52,56,58,59) </t>
    </r>
  </si>
  <si>
    <r>
      <t xml:space="preserve">Молодежный 
</t>
    </r>
    <r>
      <rPr>
        <sz val="10"/>
        <rFont val="Times New Roman"/>
        <family val="1"/>
        <charset val="204"/>
      </rPr>
      <t>(сифилис (кардиолипиновый тест, гепатит В (HBsAg), гепатит С (anti-HCV), ВИЧ)</t>
    </r>
  </si>
  <si>
    <r>
      <t xml:space="preserve">Планирование отцовства 
</t>
    </r>
    <r>
      <rPr>
        <sz val="10"/>
        <rFont val="Times New Roman"/>
        <family val="1"/>
        <charset val="204"/>
      </rPr>
      <t xml:space="preserve"> (сифилис (суммарные антитела), гепатит В (HBsAg), гепатит С (anti-HCV), ИСТ, ОАК с лейкоцитарной формулой,  группа крови, резус-фактор, ЛГ, ФСГ, общий анализ мочи)</t>
    </r>
  </si>
  <si>
    <r>
      <t xml:space="preserve">Часто болеющие дети
</t>
    </r>
    <r>
      <rPr>
        <sz val="10"/>
        <rFont val="Times New Roman"/>
        <family val="1"/>
        <charset val="204"/>
      </rPr>
      <t xml:space="preserve">(общий анализ крови с формулой, цитомегаловирус (ПЦР), вирус герпеса 6 типа (ПЦР), вирус Эпштейна-Барр (ПЦР),  микоплазма pneumoniae / хламидия pneumoniae (ПЦР)) </t>
    </r>
    <r>
      <rPr>
        <b/>
        <sz val="10"/>
        <rFont val="Times New Roman"/>
        <family val="1"/>
        <charset val="204"/>
      </rPr>
      <t xml:space="preserve">
</t>
    </r>
  </si>
  <si>
    <r>
      <t xml:space="preserve">Скрытые инфекции, передающиеся половым путем + 
</t>
    </r>
    <r>
      <rPr>
        <sz val="10"/>
        <rFont val="Times New Roman"/>
        <family val="1"/>
        <charset val="204"/>
      </rPr>
      <t xml:space="preserve">(нейсерия гонореи (ДНК), сифилис (кардиолипиновый тест), трихомонада (IgG, ДНК), хламидия  трахоматис (IgG к МОМР+pgp3, IgG к HSP 60, ДНК), микоплазма хоминис (IgG, ДНК), микоплазма гениталиум (ДНК), уреаплазма уреалитикум (IgG, ДНК), уреаплазма парвум (ДНК), гарднерелла вагиналис (ДНК), цитомегаловирус (ДНК), вирус простого герпеса 1,2 (ДНК), вирус папилломы человека ВКР (генотипы 16,18,31,33,35,39,45,51,52,56,58,59) </t>
    </r>
  </si>
  <si>
    <r>
      <t xml:space="preserve">Скрытые  инфекции, передающиеся половым путем 
</t>
    </r>
    <r>
      <rPr>
        <sz val="10"/>
        <rFont val="Times New Roman"/>
        <family val="1"/>
        <charset val="204"/>
      </rPr>
      <t xml:space="preserve">(трихомонада (IgG, ДНК), хламидия  трахоматис (IgG к МОМР+pgp3, IgG к HSP 60, ДНК), микоплазма хоминис (IgG, ДНК), микоплазма гениталиум (ДНК), уреаплазма уреалитикум (IgG, ДНК), уреаплазма парвум (ДНК), гарднерелла вагиналис (ДНК), цитомегаловирус (ДНК), вирус простого герпеса 1,2 (ДНК) </t>
    </r>
  </si>
  <si>
    <r>
      <t xml:space="preserve">Избыточный вес 
</t>
    </r>
    <r>
      <rPr>
        <sz val="10"/>
        <rFont val="Times New Roman"/>
        <family val="1"/>
        <charset val="204"/>
      </rPr>
      <t>(глюкоза, гликированный гемоглобин, холестерин общий, холестерин-ЛПНВ, холестерин -ЛПВП , Коэффициент атерогенности, триглицериды, ТТГ, Т4 свободный, пролактин, тестостерон, ЛГ ФСГ)</t>
    </r>
  </si>
  <si>
    <r>
      <t xml:space="preserve">Женское здоровье (гормоны)
</t>
    </r>
    <r>
      <rPr>
        <sz val="10"/>
        <rFont val="Times New Roman"/>
        <family val="1"/>
        <charset val="204"/>
      </rPr>
      <t>(ФСГ, ЛГ, пролактин, эстрадиол, тестостерон, кортизол, ТТГ, Т4 свободный,  ДГЭА)</t>
    </r>
  </si>
  <si>
    <r>
      <t xml:space="preserve">Обследование предстательной железы
</t>
    </r>
    <r>
      <rPr>
        <sz val="10"/>
        <rFont val="Times New Roman"/>
        <family val="1"/>
        <charset val="204"/>
      </rPr>
      <t xml:space="preserve"> (ПСА общий, ПСА свободный, % Свободного ПСА)</t>
    </r>
  </si>
  <si>
    <r>
      <t xml:space="preserve">Гепатитам – НЕТ
</t>
    </r>
    <r>
      <rPr>
        <sz val="10"/>
        <rFont val="Times New Roman"/>
        <family val="1"/>
        <charset val="204"/>
      </rPr>
      <t>(Анти-НВs-Ag,гепатит В(HBs-Ag,маркеры гепатита В),гепатит С( anti-HCV ,маркеры гепатита С)</t>
    </r>
  </si>
  <si>
    <r>
      <t xml:space="preserve">Иммунный статус
</t>
    </r>
    <r>
      <rPr>
        <sz val="10"/>
        <rFont val="Times New Roman"/>
        <family val="1"/>
        <charset val="204"/>
      </rPr>
      <t xml:space="preserve"> (общий анализ крови с формулой, интерлейкин 6, интерлейкин 2, ФНО-альфа, церулоплазмин, С3 компонент комплемента, С4 компонент комплемента, ЦИК, IgA, IgG, IgM, IgE общий)</t>
    </r>
  </si>
  <si>
    <r>
      <rPr>
        <b/>
        <sz val="10"/>
        <rFont val="Times New Roman"/>
        <family val="1"/>
        <charset val="204"/>
      </rPr>
      <t xml:space="preserve">Мужское здоровье (гормоны) </t>
    </r>
    <r>
      <rPr>
        <sz val="10"/>
        <rFont val="Times New Roman"/>
        <family val="1"/>
        <charset val="204"/>
      </rPr>
      <t xml:space="preserve">
(ГСПГ, ЛГ, тестостерон общий, тестостерон свободный, ИСТ, андростендион)</t>
    </r>
  </si>
  <si>
    <r>
      <t xml:space="preserve">Мужское здоровье (инфекции урогенитального тракта)
</t>
    </r>
    <r>
      <rPr>
        <sz val="10"/>
        <rFont val="Times New Roman"/>
        <family val="1"/>
        <charset val="204"/>
      </rPr>
      <t>(Escherichia coli, Enterobacter spp, Klebsiella spp, Proteus spp, Serratia spp,Pseudomonas aeruginosa, Enterococcus faecalis, Enterococcus faecium, Staphylococcus aureus, Streptococcus spp)</t>
    </r>
  </si>
  <si>
    <r>
      <t xml:space="preserve">Анемия
</t>
    </r>
    <r>
      <rPr>
        <sz val="10"/>
        <rFont val="Times New Roman"/>
        <family val="1"/>
        <charset val="204"/>
      </rPr>
      <t>(ОАК с лейкоцитарной формулой, ретикулоциты, витамин В12, фолиевая кислота, ферритин)</t>
    </r>
  </si>
  <si>
    <r>
      <t xml:space="preserve">TORCH- инфекции
</t>
    </r>
    <r>
      <rPr>
        <sz val="10"/>
        <rFont val="Times New Roman"/>
        <family val="1"/>
        <charset val="204"/>
      </rPr>
      <t>(Краснуха IgG/IgM, цитомегаловирус IgG/IgМ, токсоплазма IgG/IgM, вирус простого герпеса 1,2 типов IgG/IgM)</t>
    </r>
  </si>
  <si>
    <r>
      <t>Диагностика остеопороза</t>
    </r>
    <r>
      <rPr>
        <sz val="10"/>
        <rFont val="Times New Roman"/>
        <family val="1"/>
        <charset val="204"/>
      </rPr>
      <t xml:space="preserve"> (фосфор неорганический, щелочная фосфатаза, витамин Д,  кальций йонизированный, Р1NP, остеокальцин, паратгормон, β-CrossLaps) </t>
    </r>
    <r>
      <rPr>
        <b/>
        <sz val="10"/>
        <rFont val="Times New Roman"/>
        <family val="1"/>
        <charset val="204"/>
      </rPr>
      <t xml:space="preserve">
</t>
    </r>
  </si>
  <si>
    <t>Г123</t>
  </si>
  <si>
    <t>К101</t>
  </si>
  <si>
    <t>Б210</t>
  </si>
  <si>
    <t>З107</t>
  </si>
  <si>
    <t>В143</t>
  </si>
  <si>
    <t>С243</t>
  </si>
  <si>
    <t>С776</t>
  </si>
  <si>
    <t>Аллерген авокадо, специфический IgE</t>
  </si>
  <si>
    <t>И151</t>
  </si>
  <si>
    <t>И110</t>
  </si>
  <si>
    <t>С426</t>
  </si>
  <si>
    <t>С152</t>
  </si>
  <si>
    <t>В172</t>
  </si>
  <si>
    <t>К164</t>
  </si>
  <si>
    <t>И141</t>
  </si>
  <si>
    <r>
      <t>Неорганические вещества</t>
    </r>
    <r>
      <rPr>
        <sz val="12"/>
        <rFont val="Times New Roman"/>
        <family val="1"/>
        <charset val="204"/>
      </rPr>
      <t> </t>
    </r>
  </si>
  <si>
    <t>С381</t>
  </si>
  <si>
    <t>Цитологическое исследование соскобов, мазков урогенитального тракта 
(окраска по Романовскому-Гимзе)</t>
  </si>
  <si>
    <t>И390</t>
  </si>
  <si>
    <t>И303</t>
  </si>
  <si>
    <t>И161</t>
  </si>
  <si>
    <t>понед.(утро) среда(утро) пятница(утро)</t>
  </si>
  <si>
    <t>понед.(вечер) среда(вечер) пятница(вечер)</t>
  </si>
  <si>
    <t>В159</t>
  </si>
  <si>
    <t>С-реактивный белок высокочувствительный (С-РБ) (High sensitivity CRP, hs-CRP)</t>
  </si>
  <si>
    <t>N-терминальный фрагмент предшественника мозгового натрийуретического пептида (NT-pro BNP)</t>
  </si>
  <si>
    <t>Т363-367</t>
  </si>
  <si>
    <t>3 - 6 д.</t>
  </si>
  <si>
    <t>среда (утро)</t>
  </si>
  <si>
    <t>Пренатальный скрининг SsdwLab 5.0.14 (II триместр 15-20 недель)  (АФП, ХГЧ + бета)</t>
  </si>
  <si>
    <t xml:space="preserve">ХГЧ + бета </t>
  </si>
  <si>
    <t>Возбудители ОРВИ: респираторно-синцитиальный вирус; коронавирусов видов ОС43, Е229, NL63, HKU1; вирусы парагриппа типов 1,2,3,4; аденовирусов групп В, С, Е;  риновирус; метапневмовирус (определение РНК)</t>
  </si>
  <si>
    <t>3 - 5 д.</t>
  </si>
  <si>
    <t>4 - 6 д.</t>
  </si>
  <si>
    <t>М142</t>
  </si>
  <si>
    <t>2 - 3 д.</t>
  </si>
  <si>
    <t>8 -14 д.</t>
  </si>
  <si>
    <t>12-16 д.</t>
  </si>
  <si>
    <t>П074,075,
096,097</t>
  </si>
  <si>
    <t xml:space="preserve">Исследование клеща для выявления РНК/ДНК возбудителей инфекций, передаваемых клещами: клещевого энцефалита, боррелиоза (болезни Лайма), анаплазмоза, эрлихиоза </t>
  </si>
  <si>
    <t>Исследование клеща</t>
  </si>
  <si>
    <r>
      <t xml:space="preserve">Молодое сердце 
</t>
    </r>
    <r>
      <rPr>
        <sz val="10"/>
        <rFont val="Times New Roman"/>
        <family val="1"/>
        <charset val="204"/>
      </rPr>
      <t>(АСТ, АЛТ, ЛДГ,КФК,С-РБ, K/Na/Cl, холестерин -ЛПНВ, холестерин - ЛПВП, холестерин, триглицериды, индекс атерогенности, аро А, аро В, гомоцистеин,миоглобин, тропонин Т, фибриноген, протромбин, МНО)</t>
    </r>
  </si>
  <si>
    <t>С382</t>
  </si>
  <si>
    <t xml:space="preserve">Токсоплазмоз (Toxoplasma gondii) (антитела класса IgА) </t>
  </si>
  <si>
    <t>Ц002</t>
  </si>
  <si>
    <t>Цитогенетическое исследование (кариотип) (ворсины хориона)</t>
  </si>
  <si>
    <t>Цитогенетическое исследование (кариотип) (венозная кровь)</t>
  </si>
  <si>
    <t>Скорость клубочковой фильтрации, клиренс креатинина (формула CKD-EPI, для детей - формула Шварца) (СКФ)</t>
  </si>
  <si>
    <t>И160/И186</t>
  </si>
  <si>
    <t>И154</t>
  </si>
  <si>
    <t xml:space="preserve">Боррелиоз (Borrelia burgdorferi) (определение ДНК)/ Вирус клещевого энцефалита (определение РНК) </t>
  </si>
  <si>
    <t>Т448</t>
  </si>
  <si>
    <t>И421</t>
  </si>
  <si>
    <t>С383</t>
  </si>
  <si>
    <t>Исследование клеща для выявление антигена вируса клещевого энцефалита</t>
  </si>
  <si>
    <t>Т183</t>
  </si>
  <si>
    <t xml:space="preserve"> 11 - 15 д.</t>
  </si>
  <si>
    <t>Т067</t>
  </si>
  <si>
    <t>2 - 8 д.</t>
  </si>
  <si>
    <t>Аллерген банана, специфический IgG</t>
  </si>
  <si>
    <t>И362</t>
  </si>
  <si>
    <t>Аллерген глютена, специфический IgG</t>
  </si>
  <si>
    <t>И391</t>
  </si>
  <si>
    <t>И382</t>
  </si>
  <si>
    <t>Аллерген риса, специфический IgG</t>
  </si>
  <si>
    <t>Специфические IgE к инсектным аллергенам</t>
  </si>
  <si>
    <t>В158</t>
  </si>
  <si>
    <t>В148</t>
  </si>
  <si>
    <t>В149</t>
  </si>
  <si>
    <t>понед. (утро) среда (утро) пятница(утро)</t>
  </si>
  <si>
    <t>2 - 4 д.</t>
  </si>
  <si>
    <t>вторник(утро) пятница (утро)</t>
  </si>
  <si>
    <t xml:space="preserve">                            И.П.Кашина </t>
  </si>
  <si>
    <t>П169, П076</t>
  </si>
  <si>
    <t>П080, П081</t>
  </si>
  <si>
    <t>П107,П108</t>
  </si>
  <si>
    <t>П076, П169</t>
  </si>
  <si>
    <t>Вирус клещевого энцефалита (определение РНК) / Боррелиоз (Borrelia burgdorferi) (определение ДНК)</t>
  </si>
  <si>
    <t>П142, П144</t>
  </si>
  <si>
    <t>П143, П145</t>
  </si>
  <si>
    <t>П219-230</t>
  </si>
  <si>
    <t>П217, П218</t>
  </si>
  <si>
    <r>
      <t>Оценка здоровья простаты (ПСА общий</t>
    </r>
    <r>
      <rPr>
        <u/>
        <sz val="10"/>
        <rFont val="Times New Roman"/>
        <family val="1"/>
        <charset val="204"/>
      </rPr>
      <t>;</t>
    </r>
    <r>
      <rPr>
        <sz val="10"/>
        <rFont val="Times New Roman"/>
        <family val="1"/>
        <charset val="204"/>
      </rPr>
      <t xml:space="preserve"> ПСА свободный; отношение ПСА свободный/ПСА общий, %; [-2]-про-ПСА; индекс здоровья простаты PHI)</t>
    </r>
  </si>
  <si>
    <r>
      <t>Дисбактериоз кишечника.</t>
    </r>
    <r>
      <rPr>
        <sz val="10"/>
        <rFont val="Times New Roman"/>
        <family val="1"/>
        <charset val="204"/>
      </rPr>
      <t xml:space="preserve">  Исследование микрофлоры кишечника с определением титра. Определение чувствительности к бактериофагам в случае выявления патогенных микроорганизмов (сальмонеллы, шигеллы), в случае выделения условно-патогенных микроорганизмов и облигатных микроорганизмов в количестве, превышающем норму, а также определение чувствительности к антимикотическим препаратам в случае обнаружения грибов рода Candida.                                                </t>
    </r>
  </si>
  <si>
    <r>
      <t>Дисбактериоз кишечника.</t>
    </r>
    <r>
      <rPr>
        <sz val="10"/>
        <rFont val="Times New Roman"/>
        <family val="1"/>
        <charset val="204"/>
      </rPr>
      <t xml:space="preserve">  Исследование микрофлоры кишечника с определением титра. Определение чувствительности к бактериофагам и антибиотикочувствительности в случае выявления патогенных микроорганизмов (сальмонеллы, шигеллы), в случае выделения условно-патогенных микроорганизмов, в количестве, превышающем норму, а также  определение чувствительности к антимикотическим препаратам в случае обнаружения грибов рода Candida.                                 </t>
    </r>
  </si>
  <si>
    <r>
      <t xml:space="preserve">Посев на возбудителей кишечной инфекции  и определение чувствительности к антибиотикам.
</t>
    </r>
    <r>
      <rPr>
        <sz val="10"/>
        <rFont val="Times New Roman"/>
        <family val="1"/>
        <charset val="204"/>
      </rPr>
      <t>Включает бактериологическое исследование биоматериала, выделение и идентификацию возбудителя до рода (сальмонеллы, шигеллы) и определение антибиотикочувствительности.</t>
    </r>
  </si>
  <si>
    <r>
      <t xml:space="preserve">Посев на возбудителей кишечной инфекции без определения чувствительности к антибиотикам.
</t>
    </r>
    <r>
      <rPr>
        <sz val="10"/>
        <rFont val="Times New Roman"/>
        <family val="1"/>
        <charset val="204"/>
      </rPr>
      <t>Включает бактериологическое исследование биоматериала, выделение и идентификацию возбудителя до рода (сальмонеллы, шигеллы).</t>
    </r>
  </si>
  <si>
    <r>
      <t xml:space="preserve">Диагностика железо-дефицитной анемии
</t>
    </r>
    <r>
      <rPr>
        <sz val="9"/>
        <rFont val="Times New Roman"/>
        <family val="1"/>
        <charset val="204"/>
      </rPr>
      <t>( железо, ЛЖСС, ферритин, трансферрин, общий анализ крови с лейкоцитарной формулой)</t>
    </r>
  </si>
  <si>
    <r>
      <rPr>
        <b/>
        <sz val="10"/>
        <rFont val="Times New Roman"/>
        <family val="1"/>
        <charset val="204"/>
      </rPr>
      <t xml:space="preserve">Госпитализация в стационар (эконом) </t>
    </r>
    <r>
      <rPr>
        <sz val="10"/>
        <rFont val="Times New Roman"/>
        <family val="1"/>
        <charset val="204"/>
      </rPr>
      <t>(общий анализ крови с лейкоцитарной формулой, общий анализ мочи, глюкоза, протромбиновое время, МНО, фибриноген, ВИЧ, антикардиолипиновый тест на сифилис, HBsAg, анти-HCV)</t>
    </r>
  </si>
  <si>
    <t>Антинуклеарные антитела (ANA) (антитела класса IgG к смеси антигенов: RNP-70, RNP/Sm, Sm, SS-A, SS-B, Scl-70, центромера B, Jo-1)</t>
  </si>
  <si>
    <t>Вирусы герпеса 6 типа, Эпштейна-Барр, Цитомегаловирус</t>
  </si>
  <si>
    <t xml:space="preserve">Вирус герпеса 6 типа (HHV 6), Вирус Эпштейна –Барр (HSV 4, Epstein-Barr, EBV), Цитомегаловирус (Cytomegalovirus, CMV),  (определение ДНК, дифференциация) </t>
  </si>
  <si>
    <t xml:space="preserve">Вирус герпеса 6 типа (HHV 6), Вирус Эпштейна –Барр (HSV 4, Epstein-Barr, EBV), Цитомегаловирус (Cytomegalovirus, CMV),  (определение ДНК, дифференциация, вирусная нагрузка) </t>
  </si>
  <si>
    <t>П380</t>
  </si>
  <si>
    <t>П381</t>
  </si>
  <si>
    <t>С751</t>
  </si>
  <si>
    <t>понед(вечер) среда(вечер) пятница (вечер)</t>
  </si>
  <si>
    <t>С233</t>
  </si>
  <si>
    <r>
      <t xml:space="preserve">Обследование печени  </t>
    </r>
    <r>
      <rPr>
        <sz val="10"/>
        <rFont val="Times New Roman"/>
        <family val="1"/>
        <charset val="204"/>
      </rPr>
      <t>(АЛТ, АСТ, Г-ГТП, щелочная фосфотаза, общий билирубин, прямой билирубин, общий белок, альбумин, холинэстераза, фибриноген, протромбин, МНО)</t>
    </r>
  </si>
  <si>
    <t>вторник (утро)                  +3 д.</t>
  </si>
  <si>
    <t>ДНК гена резус-фактора плода по крови матери (с 12 недели беременности)</t>
  </si>
  <si>
    <t xml:space="preserve">Микроскопическое исследование на элементы грибов (без дифференцирования) </t>
  </si>
  <si>
    <t>Микроскопическое исследование на элементы грибов (без дифференцирования)</t>
  </si>
  <si>
    <t>С753</t>
  </si>
  <si>
    <t xml:space="preserve">1 - 4 д. </t>
  </si>
  <si>
    <t>ОЖСС (расчетный показатель: ЛЖСС, железо)</t>
  </si>
  <si>
    <t>В099</t>
  </si>
  <si>
    <r>
      <t xml:space="preserve">Аденовирус (Adenovirus), Ротавирус (Rotavirus) в кале. </t>
    </r>
    <r>
      <rPr>
        <b/>
        <sz val="10"/>
        <rFont val="Times New Roman"/>
        <family val="1"/>
        <charset val="204"/>
      </rPr>
      <t xml:space="preserve">
</t>
    </r>
    <r>
      <rPr>
        <sz val="10"/>
        <rFont val="Times New Roman"/>
        <family val="1"/>
        <charset val="204"/>
      </rPr>
      <t>Качественное определение в кале методом иммунохроматографии.</t>
    </r>
  </si>
  <si>
    <r>
      <rPr>
        <b/>
        <sz val="10"/>
        <rFont val="Times New Roman"/>
        <family val="1"/>
        <charset val="204"/>
      </rPr>
      <t>Возбудители гнойных менингитов методом ПЦР</t>
    </r>
    <r>
      <rPr>
        <sz val="10"/>
        <rFont val="Times New Roman"/>
        <family val="1"/>
        <charset val="204"/>
      </rPr>
      <t xml:space="preserve"> (менингококк  (Neisseria meningitidis), гемофильная палочка (Haemophilus influenzae), пневмококк (Streptococcus pneumonie)), исследуемые биоматериалы - кровь, ликвор</t>
    </r>
  </si>
  <si>
    <r>
      <rPr>
        <b/>
        <sz val="10"/>
        <rFont val="Times New Roman"/>
        <family val="1"/>
        <charset val="204"/>
      </rPr>
      <t xml:space="preserve">Возбудители гнойных и серозных менингитов методом ПЦР </t>
    </r>
    <r>
      <rPr>
        <sz val="10"/>
        <rFont val="Times New Roman"/>
        <family val="1"/>
        <charset val="204"/>
      </rPr>
      <t>(менингококк (Neisseria meningitidis), гемофильная палочка (Haemophilus influenzae) , пневмококк (Streptococcus pneumonie), Энтеровирус (Enterovirus), Аденовирус (Adenovirus)), исследуемые биоматериалы - кровь, ликвор</t>
    </r>
  </si>
  <si>
    <t>П236</t>
  </si>
  <si>
    <t>Вирус простого герпеса 1,2 (Н simplex ½, Herpes I/II, HSV 1 и 2)  (определение ДНК в крови) (вирусная нагрузка)</t>
  </si>
  <si>
    <t>П240</t>
  </si>
  <si>
    <t>Вирус простого герпеса 1,2 (Н simplex ½, Herpes I/II, HSV 1 и 2)
(определение ДНК в соскобах эпителиальных клеток, слюне, моче, эякуляте, секрете простаты, выпоте, спинномозговой жидкости) (вирусная нагрузка)</t>
  </si>
  <si>
    <t>П235</t>
  </si>
  <si>
    <t>Вирус герпеса 6 типа (HHV 6) (определение ДНК в крови) (вирусная нагрузка)</t>
  </si>
  <si>
    <t>П239</t>
  </si>
  <si>
    <t>Вирус герпеса 6 типа (HHV 6)  (определение ДНК в соскобах эпителиальных клеток, слюне, моче, эякуляте, секрете простаты, выпоте, спинномозговой жидкости) (вирусная нагрузка)</t>
  </si>
  <si>
    <t>П233</t>
  </si>
  <si>
    <t>Цитомегаловирус (Cytomegalovirus, CMV) (определение ДНК  в крови) (вирусная нагрузка)</t>
  </si>
  <si>
    <t>П237</t>
  </si>
  <si>
    <t>Цитомегаловирус (Cytomegalovirus, CMV) (определение ДНК в соскобах эпителиальных клеток, слюне, моче, эякуляте, секрете простаты, выпоте, спинномозговой жидкости) (вирусная нагрузка)</t>
  </si>
  <si>
    <t>П234</t>
  </si>
  <si>
    <t>Вирус Эпштейна –Барр (HSV 4, Epstein-Barr, EBV) (определение ДНК  в сыворотке крови) (вирусная нагрузка)</t>
  </si>
  <si>
    <t>П238</t>
  </si>
  <si>
    <t>Вирус Эпштейна –Барр (HSV 4, Epstein-Barr, EBV) (определение ДНК в соскобах эпителиальных клеток, слюне, моче, эякуляте, секрете простаты, выпоте, спинномозговой жидкости) (вирусная нагрузка)</t>
  </si>
  <si>
    <t>Т240</t>
  </si>
  <si>
    <t>Т241</t>
  </si>
  <si>
    <r>
      <t xml:space="preserve">Липо-скрин (методом секвенирования) </t>
    </r>
    <r>
      <rPr>
        <sz val="10"/>
        <color indexed="10"/>
        <rFont val="Times"/>
        <family val="1"/>
      </rPr>
      <t>(Определение полиморфизмов в генах, предрасположенности к наследственным формам нарушения липидного обмена). Анализ наличия полиморфизмов в генах: APOE, APOB, PCSK9</t>
    </r>
  </si>
  <si>
    <t>Т238</t>
  </si>
  <si>
    <r>
      <t xml:space="preserve">ИБС - скрин (методом секвенирования) </t>
    </r>
    <r>
      <rPr>
        <sz val="10"/>
        <color indexed="10"/>
        <rFont val="Times"/>
        <family val="1"/>
      </rPr>
      <t>(Определение генетических факторов возникновения риска или неблагоприятное течение генетической болезни сердца) Анализ наличия полиморфизмов в генах: AMPD1, СDKN2A/2B, HIF1A, MMP3, APOE</t>
    </r>
  </si>
  <si>
    <t>Т239</t>
  </si>
  <si>
    <r>
      <t>Диабет 2 - скрин (методом секвенирования)</t>
    </r>
    <r>
      <rPr>
        <sz val="10"/>
        <color indexed="10"/>
        <rFont val="Times"/>
        <family val="1"/>
      </rPr>
      <t xml:space="preserve">(Определение полиморфных аллелей генов для оценки риска развития сахарного диабета 2 типа).Анализ наличия полиморфизмов в генах: KCNJ11, PPARG, TCF7L2 </t>
    </r>
  </si>
  <si>
    <t>Т242</t>
  </si>
  <si>
    <r>
      <t xml:space="preserve">Синдром Жильбера (методом секвенирования) </t>
    </r>
    <r>
      <rPr>
        <sz val="10"/>
        <color indexed="10"/>
        <rFont val="Times"/>
        <family val="1"/>
      </rPr>
      <t xml:space="preserve">Определение генетического полиморфизма (ТА)5/6/7/8 в гене UGT1A1. Анализ наличия полиморфизмов в гене UGT1A1 </t>
    </r>
  </si>
  <si>
    <r>
      <rPr>
        <b/>
        <sz val="9"/>
        <color indexed="10"/>
        <rFont val="Times"/>
        <family val="1"/>
      </rPr>
      <t>Паспорт здоровья (для женщин). Сдавать на 3-5 день МЦ</t>
    </r>
    <r>
      <rPr>
        <sz val="9"/>
        <color indexed="10"/>
        <rFont val="Times"/>
        <family val="1"/>
      </rPr>
      <t xml:space="preserve">
(общий анализ крови с лейкоцитарной формулой, ферритин, общий анализ мочи, креатинин, мочевина, общий белок, билирубин общий, АлАТ, АсАТ, щелочная фосфатаза, С-реактивный белок, триглицериды, холестерин общий, ЛПВП,  ЛПНП,  коэффициент атерогенности,  ТТГ, Т4 свободный, Т3 свободный, глюкоза, ПТВ/МНО,  АЧТВ, хеликобактер пилори IgG, ФСГ, эстрадиол,  ЛГ)</t>
    </r>
  </si>
  <si>
    <t>э</t>
  </si>
  <si>
    <r>
      <t xml:space="preserve">Коло-скрин (методом секвенирования) </t>
    </r>
    <r>
      <rPr>
        <sz val="10"/>
        <color indexed="10"/>
        <rFont val="Times"/>
        <family val="1"/>
      </rPr>
      <t>(Определение полиморфных аллелей генов, выявление наследственной предрасположенности к болезни Крона и к колоректальному раку). Анализ наличия полиморфизмов в генах: NOD2, NKX2-3, PTPN2</t>
    </r>
  </si>
  <si>
    <t>Амилаза в моче (суточная, разовая)</t>
  </si>
  <si>
    <t>Амилаза панкреатическая в разовой порции мочи</t>
  </si>
  <si>
    <t>Белок в суточной моче</t>
  </si>
  <si>
    <t>Глюкоза в суточной моче</t>
  </si>
  <si>
    <t>Кальций в суточной моче</t>
  </si>
  <si>
    <t>Калий, Натрий, Хлор в суточной моче</t>
  </si>
  <si>
    <t>Креатинин в суточной моче</t>
  </si>
  <si>
    <t>Мочевая кислота в суточной моче</t>
  </si>
  <si>
    <t>Мочевина в суточной моче</t>
  </si>
  <si>
    <t>Микроальбумин в  суточной моче</t>
  </si>
  <si>
    <t>Микроальбумин в  разовой порции мочи</t>
  </si>
  <si>
    <t>Фосфор в суточной моче</t>
  </si>
  <si>
    <t>А133</t>
  </si>
  <si>
    <t>С384</t>
  </si>
  <si>
    <t>среда (вечер) суббота (вечер)</t>
  </si>
  <si>
    <t>И422</t>
  </si>
  <si>
    <t>понед. (утро) четверг (утро)</t>
  </si>
  <si>
    <t>Количественное определение кальпротектина в кале</t>
  </si>
  <si>
    <t>Насыщение трансферрина железом (расчетный показатель: железо, трансфферин)</t>
  </si>
  <si>
    <r>
      <rPr>
        <b/>
        <sz val="9"/>
        <color indexed="10"/>
        <rFont val="Times"/>
        <family val="1"/>
      </rPr>
      <t xml:space="preserve">Паспорт здоровья (для мужчин) </t>
    </r>
    <r>
      <rPr>
        <sz val="9"/>
        <color indexed="10"/>
        <rFont val="Times"/>
        <family val="1"/>
      </rPr>
      <t xml:space="preserve">
(общий анализ крови с лейкоцитарной формулой, ферритин, общий анализ мочи, креатинин, мочевина, общий белок, билирубин общий, АлАТ , АсАТ,щелочная фосфатаза, С-реактивный белок, триглицериды, холестерин общий, ЛПВП,  ЛПНП, коэффициент атерогенности,  ТТГ, Т4 свободный, Т3 свободный, глюкоза, ПТВ/МНО, АЧТВ, хеликобактер пилори IgG, Аро-А, Аро-В, коэффициент риска развития сердечно-сосудистых заболеваний, ПСА общий, ПСА свободный, % свободного ПСА,  тестостерон общий, тестостерон свободный, кал на гемоглобин/гаптоглобин, гомоцистеин)</t>
    </r>
  </si>
  <si>
    <r>
      <t xml:space="preserve">Определение </t>
    </r>
    <r>
      <rPr>
        <sz val="10"/>
        <color rgb="FFFF0000"/>
        <rFont val="Times New Roman"/>
        <family val="1"/>
        <charset val="204"/>
      </rPr>
      <t>яиц</t>
    </r>
    <r>
      <rPr>
        <sz val="10"/>
        <rFont val="Times New Roman"/>
        <family val="1"/>
        <charset val="204"/>
      </rPr>
      <t xml:space="preserve"> кишечных паразитов в кале (гименолепидоз, описторхоз, клонорхоз, фасциолез, дикроцелиоз, метагонимоз, нанофиетоз, дифиллоботриоз, аскаридоз, трихоцефалез, анкилостомидоз, стронгилоидоз, трихостронгилез, некатороз, шистосомоз, лямблиоз)</t>
    </r>
  </si>
  <si>
    <t>понедельник (утро) + 2 д.</t>
  </si>
  <si>
    <t>Приложение № 1 к договору оказания платных медицинских услуг от "19" октября 2020 г.  № 704/20</t>
  </si>
  <si>
    <t>Антитела к бетта-клеткам поджелудочной железы</t>
  </si>
  <si>
    <t>2-8 дн.</t>
  </si>
  <si>
    <r>
      <t xml:space="preserve">Поиск частых мутаций в гене VAPB </t>
    </r>
    <r>
      <rPr>
        <b/>
        <i/>
        <sz val="10"/>
        <color rgb="FFFF0000"/>
        <rFont val="Times New Roman"/>
        <family val="1"/>
        <charset val="204"/>
      </rPr>
      <t>(75.20.1</t>
    </r>
    <r>
      <rPr>
        <sz val="10"/>
        <color rgb="FFFF0000"/>
        <rFont val="Times New Roman"/>
        <family val="1"/>
        <charset val="204"/>
      </rPr>
      <t>)</t>
    </r>
  </si>
  <si>
    <r>
      <t>Поиск мутаций в гене F8, F9, VWF при гемофилии А</t>
    </r>
    <r>
      <rPr>
        <b/>
        <i/>
        <sz val="10"/>
        <color rgb="FFFF0000"/>
        <rFont val="Times New Roman"/>
        <family val="1"/>
        <charset val="204"/>
      </rPr>
      <t xml:space="preserve"> (80.6.1)</t>
    </r>
  </si>
  <si>
    <r>
      <t xml:space="preserve">Поиск мутаций в гене CAV3 </t>
    </r>
    <r>
      <rPr>
        <b/>
        <i/>
        <sz val="10"/>
        <color rgb="FFFF0000"/>
        <rFont val="Times New Roman"/>
        <family val="1"/>
        <charset val="204"/>
      </rPr>
      <t>(79.23.2)</t>
    </r>
  </si>
  <si>
    <r>
      <t xml:space="preserve">Поиск мутаций в гене TNNT2 </t>
    </r>
    <r>
      <rPr>
        <b/>
        <i/>
        <sz val="10"/>
        <color rgb="FFFF0000"/>
        <rFont val="Times New Roman"/>
        <family val="1"/>
        <charset val="204"/>
      </rPr>
      <t>(84.4.1)</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</si>
</sst>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quot;р.&quot;;[Red]\-#,##0&quot;р.&quot;"/>
  </numFmts>
  <fonts count="38" x14ac:knownFonts="1">
    <font>
      <sz val="11"/>
      <color indexed="8"/>
      <name val="Calibri"/>
      <family val="2"/>
      <charset val="204"/>
    </font>
    <font>
      <sz val="8"/>
      <name val="Calibri"/>
      <family val="2"/>
      <charset val="204"/>
    </font>
    <font>
      <sz val="10"/>
      <name val="Arial"/>
      <family val="2"/>
      <charset val="204"/>
    </font>
    <font>
      <sz val="11"/>
      <name val="Calibri"/>
      <family val="2"/>
      <charset val="204"/>
    </font>
    <font>
      <b/>
      <sz val="10"/>
      <name val="Arial"/>
      <family val="2"/>
      <charset val="204"/>
    </font>
    <font>
      <sz val="11"/>
      <name val="Times New Roman"/>
      <family val="1"/>
      <charset val="204"/>
    </font>
    <font>
      <sz val="9"/>
      <name val="Arial"/>
      <family val="2"/>
      <charset val="204"/>
    </font>
    <font>
      <b/>
      <sz val="9"/>
      <name val="Times New Roman"/>
      <family val="1"/>
      <charset val="204"/>
    </font>
    <font>
      <sz val="11"/>
      <name val="Arial"/>
      <family val="2"/>
      <charset val="204"/>
    </font>
    <font>
      <sz val="10"/>
      <name val="Times New Roman"/>
      <family val="1"/>
      <charset val="204"/>
    </font>
    <font>
      <sz val="9"/>
      <name val="Times New Roman"/>
      <family val="1"/>
      <charset val="204"/>
    </font>
    <font>
      <b/>
      <sz val="10"/>
      <name val="Times New Roman"/>
      <family val="1"/>
      <charset val="204"/>
    </font>
    <font>
      <sz val="9"/>
      <name val="Calibri"/>
      <family val="2"/>
      <charset val="204"/>
    </font>
    <font>
      <sz val="10"/>
      <name val="Calibri"/>
      <family val="2"/>
      <charset val="204"/>
    </font>
    <font>
      <sz val="12"/>
      <name val="Calibri"/>
      <family val="2"/>
      <charset val="204"/>
    </font>
    <font>
      <sz val="14"/>
      <name val="Calibri"/>
      <family val="2"/>
      <charset val="204"/>
    </font>
    <font>
      <sz val="14"/>
      <name val="Times New Roman"/>
      <family val="1"/>
      <charset val="204"/>
    </font>
    <font>
      <sz val="11"/>
      <color rgb="FF00B0F0"/>
      <name val="Calibri"/>
      <family val="2"/>
      <charset val="204"/>
    </font>
    <font>
      <b/>
      <i/>
      <sz val="10"/>
      <name val="Times New Roman"/>
      <family val="1"/>
      <charset val="204"/>
    </font>
    <font>
      <sz val="8"/>
      <name val="Times New Roman"/>
      <family val="1"/>
      <charset val="204"/>
    </font>
    <font>
      <sz val="12"/>
      <name val="Times New Roman"/>
      <family val="1"/>
      <charset val="204"/>
    </font>
    <font>
      <i/>
      <sz val="10"/>
      <name val="Times New Roman"/>
      <family val="1"/>
      <charset val="204"/>
    </font>
    <font>
      <b/>
      <sz val="12"/>
      <name val="Times New Roman"/>
      <family val="1"/>
      <charset val="204"/>
    </font>
    <font>
      <b/>
      <sz val="14"/>
      <name val="Times New Roman"/>
      <family val="1"/>
      <charset val="204"/>
    </font>
    <font>
      <b/>
      <sz val="16"/>
      <name val="Times New Roman"/>
      <family val="1"/>
      <charset val="204"/>
    </font>
    <font>
      <b/>
      <sz val="11"/>
      <name val="Times New Roman"/>
      <family val="1"/>
      <charset val="204"/>
    </font>
    <font>
      <u/>
      <sz val="10"/>
      <name val="Times New Roman"/>
      <family val="1"/>
      <charset val="204"/>
    </font>
    <font>
      <sz val="10"/>
      <color rgb="FFFF0000"/>
      <name val="Times"/>
      <family val="1"/>
    </font>
    <font>
      <sz val="10"/>
      <color rgb="FFFF0000"/>
      <name val="Times New Roman"/>
      <family val="1"/>
      <charset val="204"/>
    </font>
    <font>
      <sz val="10"/>
      <name val="Times"/>
      <family val="1"/>
    </font>
    <font>
      <sz val="9"/>
      <color rgb="FFFF0000"/>
      <name val="Times"/>
      <family val="1"/>
    </font>
    <font>
      <b/>
      <sz val="10"/>
      <color rgb="FFFF0000"/>
      <name val="Times"/>
      <family val="1"/>
    </font>
    <font>
      <sz val="10"/>
      <color indexed="10"/>
      <name val="Times"/>
      <family val="1"/>
    </font>
    <font>
      <b/>
      <sz val="9"/>
      <color indexed="10"/>
      <name val="Times"/>
      <family val="1"/>
    </font>
    <font>
      <sz val="9"/>
      <color indexed="10"/>
      <name val="Times"/>
      <family val="1"/>
    </font>
    <font>
      <sz val="9"/>
      <color rgb="FFFF0000"/>
      <name val="Times New Roman"/>
      <family val="1"/>
      <charset val="204"/>
    </font>
    <font>
      <sz val="11"/>
      <color rgb="FFFF0000"/>
      <name val="Calibri"/>
      <family val="2"/>
      <charset val="204"/>
    </font>
    <font>
      <b/>
      <i/>
      <sz val="10"/>
      <color rgb="FFFF0000"/>
      <name val="Times New Roman"/>
      <family val="1"/>
      <charset val="204"/>
    </font>
  </fonts>
  <fills count="11">
    <fill>
      <patternFill patternType="none"/>
    </fill>
    <fill>
      <patternFill patternType="gray125"/>
    </fill>
    <fill>
      <patternFill patternType="solid">
        <fgColor indexed="23"/>
        <bgColor indexed="64"/>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theme="0"/>
        <bgColor indexed="64"/>
      </patternFill>
    </fill>
    <fill>
      <patternFill patternType="solid">
        <fgColor theme="0" tint="-0.249977111117893"/>
        <bgColor indexed="64"/>
      </patternFill>
    </fill>
    <fill>
      <patternFill patternType="solid">
        <fgColor rgb="FFFFFFFF"/>
        <bgColor indexed="64"/>
      </patternFill>
    </fill>
    <fill>
      <patternFill patternType="solid">
        <fgColor theme="0" tint="-0.499984740745262"/>
        <bgColor indexed="64"/>
      </patternFill>
    </fill>
    <fill>
      <patternFill patternType="solid">
        <fgColor rgb="FFFFFF99"/>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bottom/>
      <diagonal/>
    </border>
    <border>
      <left style="thin">
        <color auto="1"/>
      </left>
      <right style="thin">
        <color auto="1"/>
      </right>
      <top/>
      <bottom/>
      <diagonal/>
    </border>
  </borders>
  <cellStyleXfs count="1">
    <xf numFmtId="0" fontId="0" fillId="0" borderId="0"/>
  </cellStyleXfs>
  <cellXfs count="177">
    <xf numFmtId="0" fontId="0" fillId="0" borderId="0" xfId="0"/>
    <xf numFmtId="0" fontId="3" fillId="0" borderId="0" xfId="0" applyFont="1" applyFill="1" applyAlignment="1">
      <alignment horizontal="center" vertical="center" wrapText="1"/>
    </xf>
    <xf numFmtId="0" fontId="3" fillId="6" borderId="0" xfId="0" applyFont="1" applyFill="1" applyAlignment="1">
      <alignment horizontal="center" vertical="center" wrapText="1"/>
    </xf>
    <xf numFmtId="0" fontId="3" fillId="0" borderId="0" xfId="0" applyFont="1" applyAlignment="1">
      <alignment horizontal="center" vertical="center" wrapText="1"/>
    </xf>
    <xf numFmtId="0" fontId="3" fillId="0" borderId="0" xfId="0" applyFont="1" applyFill="1" applyAlignment="1">
      <alignment horizontal="center" vertical="center" wrapText="1"/>
    </xf>
    <xf numFmtId="0" fontId="3" fillId="0" borderId="0" xfId="0" applyFont="1" applyFill="1" applyAlignment="1">
      <alignment horizontal="center" vertical="center" wrapText="1"/>
    </xf>
    <xf numFmtId="0" fontId="2" fillId="0" borderId="0" xfId="0" applyFont="1" applyFill="1" applyAlignment="1">
      <alignment horizontal="center" vertical="center" wrapText="1"/>
    </xf>
    <xf numFmtId="0" fontId="6" fillId="0" borderId="0" xfId="0" applyFont="1" applyFill="1" applyAlignment="1">
      <alignment horizontal="center" vertical="center" wrapText="1"/>
    </xf>
    <xf numFmtId="0" fontId="8" fillId="0" borderId="0" xfId="0" applyFont="1" applyFill="1" applyAlignment="1">
      <alignment horizontal="center" vertical="center" wrapText="1"/>
    </xf>
    <xf numFmtId="0" fontId="5" fillId="0" borderId="0" xfId="0" applyFont="1" applyFill="1" applyAlignment="1">
      <alignment horizontal="center" vertical="center" wrapText="1"/>
    </xf>
    <xf numFmtId="0" fontId="10" fillId="0" borderId="0" xfId="0" applyFont="1" applyFill="1" applyAlignment="1">
      <alignment horizontal="center" vertical="center" wrapText="1"/>
    </xf>
    <xf numFmtId="0" fontId="12" fillId="6" borderId="0" xfId="0" applyFont="1" applyFill="1" applyAlignment="1">
      <alignment horizontal="center" vertical="center" wrapText="1"/>
    </xf>
    <xf numFmtId="0" fontId="12" fillId="0" borderId="0" xfId="0" applyFont="1" applyFill="1" applyAlignment="1">
      <alignment horizontal="center" vertical="center" wrapText="1"/>
    </xf>
    <xf numFmtId="0" fontId="13" fillId="0" borderId="0" xfId="0" applyFont="1" applyAlignment="1">
      <alignment horizontal="center" vertical="center" wrapText="1"/>
    </xf>
    <xf numFmtId="0" fontId="13" fillId="0" borderId="0" xfId="0" applyFont="1" applyFill="1" applyAlignment="1">
      <alignment horizontal="center" vertical="center" wrapText="1"/>
    </xf>
    <xf numFmtId="0" fontId="14" fillId="0" borderId="0" xfId="0" applyFont="1" applyFill="1" applyAlignment="1">
      <alignment horizontal="center" vertical="center" wrapText="1"/>
    </xf>
    <xf numFmtId="0" fontId="15" fillId="0" borderId="0" xfId="0" applyFont="1" applyFill="1" applyAlignment="1">
      <alignment horizontal="center" vertical="center" wrapText="1"/>
    </xf>
    <xf numFmtId="0" fontId="16" fillId="0" borderId="0" xfId="0" applyFont="1" applyFill="1" applyAlignment="1">
      <alignment horizontal="center" vertical="center" wrapText="1"/>
    </xf>
    <xf numFmtId="0" fontId="9" fillId="6" borderId="0" xfId="0" applyFont="1" applyFill="1" applyAlignment="1">
      <alignment horizontal="center" vertical="center" wrapText="1"/>
    </xf>
    <xf numFmtId="0" fontId="10" fillId="0" borderId="0" xfId="0" applyFont="1" applyAlignment="1">
      <alignment horizontal="left" wrapText="1"/>
    </xf>
    <xf numFmtId="0" fontId="17" fillId="0" borderId="0" xfId="0" applyFont="1" applyFill="1" applyAlignment="1">
      <alignment horizontal="center" vertical="center" wrapText="1"/>
    </xf>
    <xf numFmtId="0" fontId="7" fillId="6" borderId="1" xfId="0" applyFont="1" applyFill="1" applyBorder="1" applyAlignment="1">
      <alignment horizontal="center" vertical="center" wrapText="1"/>
    </xf>
    <xf numFmtId="0" fontId="11" fillId="6" borderId="1" xfId="0" applyFont="1" applyFill="1" applyBorder="1" applyAlignment="1">
      <alignment horizontal="center" vertical="center" wrapText="1"/>
    </xf>
    <xf numFmtId="3" fontId="11" fillId="6"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3" fontId="9" fillId="6" borderId="1" xfId="0" applyNumberFormat="1" applyFont="1" applyFill="1" applyBorder="1" applyAlignment="1">
      <alignment horizontal="center" vertical="center" wrapText="1"/>
    </xf>
    <xf numFmtId="0" fontId="10" fillId="6" borderId="1" xfId="0" applyFont="1" applyFill="1" applyBorder="1" applyAlignment="1">
      <alignment horizontal="center" vertical="center" wrapText="1"/>
    </xf>
    <xf numFmtId="0" fontId="9" fillId="6" borderId="1" xfId="0" applyFont="1" applyFill="1" applyBorder="1" applyAlignment="1">
      <alignment horizontal="center" vertical="center" wrapText="1"/>
    </xf>
    <xf numFmtId="3" fontId="9" fillId="0" borderId="1" xfId="0" applyNumberFormat="1" applyFont="1" applyFill="1" applyBorder="1" applyAlignment="1">
      <alignment horizontal="center" vertical="center" wrapText="1"/>
    </xf>
    <xf numFmtId="1" fontId="9" fillId="6" borderId="1" xfId="0" applyNumberFormat="1" applyFont="1" applyFill="1" applyBorder="1" applyAlignment="1">
      <alignment horizontal="center" vertical="center"/>
    </xf>
    <xf numFmtId="0" fontId="10" fillId="6" borderId="0" xfId="0" applyFont="1" applyFill="1" applyAlignment="1">
      <alignment horizontal="center" vertical="center" wrapText="1"/>
    </xf>
    <xf numFmtId="0" fontId="10" fillId="0" borderId="1" xfId="0" applyFont="1" applyBorder="1" applyAlignment="1">
      <alignment horizontal="center" vertical="center" wrapText="1"/>
    </xf>
    <xf numFmtId="0" fontId="9" fillId="6" borderId="1" xfId="0" applyFont="1" applyFill="1" applyBorder="1" applyAlignment="1">
      <alignment vertical="center" wrapText="1"/>
    </xf>
    <xf numFmtId="0" fontId="19" fillId="6" borderId="1"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9" fillId="0" borderId="1" xfId="0" applyFont="1" applyBorder="1" applyAlignment="1">
      <alignment horizontal="center" vertical="center" wrapText="1"/>
    </xf>
    <xf numFmtId="164" fontId="10" fillId="6" borderId="1" xfId="0" applyNumberFormat="1" applyFont="1" applyFill="1" applyBorder="1" applyAlignment="1">
      <alignment horizontal="center" vertical="center" wrapText="1"/>
    </xf>
    <xf numFmtId="0" fontId="9" fillId="0" borderId="1" xfId="0" applyFont="1" applyBorder="1" applyAlignment="1">
      <alignment horizontal="center" wrapText="1"/>
    </xf>
    <xf numFmtId="0" fontId="19" fillId="0" borderId="1" xfId="0" applyFont="1" applyBorder="1" applyAlignment="1">
      <alignment horizontal="center" vertical="center" wrapText="1"/>
    </xf>
    <xf numFmtId="0" fontId="9" fillId="0" borderId="6" xfId="0" applyFont="1" applyFill="1" applyBorder="1" applyAlignment="1">
      <alignment horizontal="center" vertical="center" wrapText="1"/>
    </xf>
    <xf numFmtId="1" fontId="9" fillId="6" borderId="5" xfId="0" applyNumberFormat="1" applyFont="1" applyFill="1" applyBorder="1" applyAlignment="1">
      <alignment horizontal="center" vertical="center"/>
    </xf>
    <xf numFmtId="0" fontId="10" fillId="3" borderId="1" xfId="0" applyFont="1" applyFill="1" applyBorder="1" applyAlignment="1">
      <alignment horizontal="center" vertical="center" wrapText="1"/>
    </xf>
    <xf numFmtId="0" fontId="10" fillId="0" borderId="1" xfId="0" applyFont="1" applyFill="1" applyBorder="1" applyAlignment="1">
      <alignment horizontal="center" vertical="top" wrapText="1"/>
    </xf>
    <xf numFmtId="0" fontId="10" fillId="6" borderId="1" xfId="0" applyFont="1" applyFill="1" applyBorder="1" applyAlignment="1">
      <alignment horizontal="center"/>
    </xf>
    <xf numFmtId="3" fontId="9" fillId="6" borderId="1" xfId="0" applyNumberFormat="1" applyFont="1" applyFill="1" applyBorder="1" applyAlignment="1">
      <alignment horizontal="center"/>
    </xf>
    <xf numFmtId="0" fontId="10" fillId="8" borderId="1" xfId="0" applyFont="1" applyFill="1" applyBorder="1" applyAlignment="1">
      <alignment horizontal="center" vertical="center" wrapText="1"/>
    </xf>
    <xf numFmtId="0" fontId="9" fillId="0" borderId="1" xfId="0" applyFont="1" applyBorder="1" applyAlignment="1">
      <alignment horizontal="center" vertical="center"/>
    </xf>
    <xf numFmtId="0" fontId="10" fillId="0" borderId="1" xfId="0" applyFont="1" applyBorder="1" applyAlignment="1">
      <alignment horizontal="center" vertical="center"/>
    </xf>
    <xf numFmtId="0" fontId="7" fillId="6" borderId="0" xfId="0" applyFont="1" applyFill="1" applyAlignment="1">
      <alignment horizontal="left" wrapText="1"/>
    </xf>
    <xf numFmtId="0" fontId="10" fillId="6" borderId="1" xfId="0" applyFont="1" applyFill="1" applyBorder="1" applyAlignment="1" applyProtection="1">
      <alignment horizontal="center" vertical="center" wrapText="1"/>
      <protection locked="0"/>
    </xf>
    <xf numFmtId="0" fontId="7" fillId="6" borderId="1" xfId="0" applyFont="1" applyFill="1" applyBorder="1" applyAlignment="1">
      <alignment horizontal="center" vertical="center"/>
    </xf>
    <xf numFmtId="0" fontId="9" fillId="6" borderId="0" xfId="0" applyFont="1" applyFill="1" applyAlignment="1">
      <alignment horizontal="left" wrapText="1"/>
    </xf>
    <xf numFmtId="0" fontId="9" fillId="6" borderId="1" xfId="0" applyFont="1" applyFill="1" applyBorder="1" applyAlignment="1">
      <alignment wrapText="1"/>
    </xf>
    <xf numFmtId="0" fontId="9" fillId="6" borderId="6" xfId="0" applyFont="1" applyFill="1" applyBorder="1" applyAlignment="1">
      <alignment horizontal="left" vertical="center" wrapText="1"/>
    </xf>
    <xf numFmtId="0" fontId="9" fillId="6" borderId="0" xfId="0" applyFont="1" applyFill="1" applyAlignment="1">
      <alignment horizontal="left" vertical="center" wrapText="1"/>
    </xf>
    <xf numFmtId="0" fontId="10" fillId="6" borderId="6" xfId="0" applyFont="1" applyFill="1" applyBorder="1" applyAlignment="1">
      <alignment horizontal="center" vertical="center" wrapText="1"/>
    </xf>
    <xf numFmtId="1" fontId="10" fillId="6" borderId="1" xfId="0" applyNumberFormat="1" applyFont="1" applyFill="1" applyBorder="1" applyAlignment="1">
      <alignment horizontal="center" vertical="center"/>
    </xf>
    <xf numFmtId="0" fontId="9" fillId="6" borderId="4" xfId="0" applyFont="1" applyFill="1" applyBorder="1" applyAlignment="1">
      <alignment horizontal="left" vertical="center" wrapText="1"/>
    </xf>
    <xf numFmtId="0" fontId="9" fillId="6" borderId="1" xfId="0" applyFont="1" applyFill="1" applyBorder="1" applyAlignment="1">
      <alignment horizontal="left" vertical="center" wrapText="1"/>
    </xf>
    <xf numFmtId="0" fontId="11" fillId="6" borderId="1" xfId="0" applyFont="1" applyFill="1" applyBorder="1" applyAlignment="1">
      <alignment horizontal="left" vertical="center" wrapText="1"/>
    </xf>
    <xf numFmtId="3" fontId="9" fillId="0" borderId="0" xfId="0" applyNumberFormat="1" applyFont="1" applyFill="1" applyAlignment="1">
      <alignment horizontal="center" vertical="center" wrapText="1"/>
    </xf>
    <xf numFmtId="0" fontId="9" fillId="0" borderId="1" xfId="0" applyFont="1" applyFill="1" applyBorder="1" applyAlignment="1">
      <alignment horizontal="left" vertical="center" wrapText="1"/>
    </xf>
    <xf numFmtId="0" fontId="9" fillId="6" borderId="2" xfId="0" applyFont="1" applyFill="1" applyBorder="1" applyAlignment="1">
      <alignment horizontal="left" vertical="center" wrapText="1"/>
    </xf>
    <xf numFmtId="0" fontId="9" fillId="0" borderId="0" xfId="0" applyFont="1" applyFill="1" applyAlignment="1">
      <alignment horizontal="center" vertical="center" wrapText="1"/>
    </xf>
    <xf numFmtId="0" fontId="9" fillId="0" borderId="0" xfId="0" applyFont="1" applyAlignment="1">
      <alignment horizontal="left" wrapText="1"/>
    </xf>
    <xf numFmtId="0" fontId="7" fillId="7" borderId="1" xfId="0" applyFont="1" applyFill="1" applyBorder="1" applyAlignment="1">
      <alignment horizontal="center" vertical="center" wrapText="1"/>
    </xf>
    <xf numFmtId="0" fontId="27" fillId="6" borderId="1" xfId="0" applyFont="1" applyFill="1" applyBorder="1" applyAlignment="1">
      <alignment horizontal="center" vertical="center" wrapText="1"/>
    </xf>
    <xf numFmtId="0" fontId="27" fillId="6" borderId="1" xfId="0" applyFont="1" applyFill="1" applyBorder="1" applyAlignment="1">
      <alignment horizontal="left" vertical="center" wrapText="1"/>
    </xf>
    <xf numFmtId="1" fontId="27" fillId="6" borderId="1" xfId="0" applyNumberFormat="1" applyFont="1" applyFill="1" applyBorder="1" applyAlignment="1">
      <alignment horizontal="center" vertical="center"/>
    </xf>
    <xf numFmtId="0" fontId="27" fillId="0" borderId="1" xfId="0" applyFont="1" applyFill="1" applyBorder="1" applyAlignment="1">
      <alignment horizontal="center" vertical="center" wrapText="1"/>
    </xf>
    <xf numFmtId="0" fontId="28" fillId="6" borderId="1" xfId="0" applyFont="1" applyFill="1" applyBorder="1" applyAlignment="1">
      <alignment horizontal="center" vertical="center" wrapText="1"/>
    </xf>
    <xf numFmtId="0" fontId="28" fillId="0" borderId="1" xfId="0" applyFont="1" applyFill="1" applyBorder="1" applyAlignment="1">
      <alignment horizontal="left" vertical="center" wrapText="1"/>
    </xf>
    <xf numFmtId="0" fontId="28" fillId="0" borderId="1" xfId="0" applyFont="1" applyFill="1" applyBorder="1" applyAlignment="1">
      <alignment horizontal="center" vertical="center" wrapText="1"/>
    </xf>
    <xf numFmtId="3" fontId="28" fillId="6" borderId="1" xfId="0" applyNumberFormat="1" applyFont="1" applyFill="1" applyBorder="1" applyAlignment="1">
      <alignment horizontal="center" vertical="center" wrapText="1"/>
    </xf>
    <xf numFmtId="0" fontId="27" fillId="0" borderId="1" xfId="0" applyFont="1" applyFill="1" applyBorder="1" applyAlignment="1">
      <alignment horizontal="left" vertical="center" wrapText="1"/>
    </xf>
    <xf numFmtId="0" fontId="10" fillId="6" borderId="1" xfId="0" applyFont="1" applyFill="1" applyBorder="1" applyAlignment="1">
      <alignment horizontal="left" vertical="center" wrapText="1"/>
    </xf>
    <xf numFmtId="3" fontId="10" fillId="6" borderId="1" xfId="0" applyNumberFormat="1" applyFont="1" applyFill="1" applyBorder="1" applyAlignment="1">
      <alignment horizontal="center" vertical="center" wrapText="1"/>
    </xf>
    <xf numFmtId="0" fontId="29" fillId="0" borderId="1" xfId="0" applyFont="1" applyFill="1" applyBorder="1" applyAlignment="1">
      <alignment horizontal="center" vertical="center" wrapText="1"/>
    </xf>
    <xf numFmtId="3" fontId="27" fillId="6" borderId="1" xfId="0" applyNumberFormat="1" applyFont="1" applyFill="1" applyBorder="1" applyAlignment="1">
      <alignment horizontal="center" vertical="center" wrapText="1"/>
    </xf>
    <xf numFmtId="0" fontId="28" fillId="6" borderId="1" xfId="0" applyFont="1" applyFill="1" applyBorder="1" applyAlignment="1">
      <alignment horizontal="center" vertical="center"/>
    </xf>
    <xf numFmtId="0" fontId="31" fillId="6" borderId="1" xfId="0" applyFont="1" applyFill="1" applyBorder="1" applyAlignment="1">
      <alignment horizontal="center" vertical="center"/>
    </xf>
    <xf numFmtId="0" fontId="27" fillId="6" borderId="1" xfId="0" applyFont="1" applyFill="1" applyBorder="1" applyAlignment="1">
      <alignment horizontal="center" vertical="center"/>
    </xf>
    <xf numFmtId="3" fontId="28" fillId="0" borderId="1" xfId="0" applyNumberFormat="1" applyFont="1" applyFill="1" applyBorder="1" applyAlignment="1">
      <alignment horizontal="center" vertical="center" wrapText="1"/>
    </xf>
    <xf numFmtId="3" fontId="35" fillId="6" borderId="1" xfId="0" applyNumberFormat="1" applyFont="1" applyFill="1" applyBorder="1" applyAlignment="1">
      <alignment horizontal="center" vertical="center" wrapText="1"/>
    </xf>
    <xf numFmtId="0" fontId="35" fillId="0" borderId="1" xfId="0" applyFont="1" applyFill="1" applyBorder="1" applyAlignment="1">
      <alignment horizontal="center" vertical="center" wrapText="1"/>
    </xf>
    <xf numFmtId="0" fontId="35" fillId="6" borderId="1" xfId="0" applyFont="1" applyFill="1" applyBorder="1" applyAlignment="1">
      <alignment horizontal="center" vertical="center" wrapText="1"/>
    </xf>
    <xf numFmtId="0" fontId="28" fillId="6" borderId="1" xfId="0" applyFont="1" applyFill="1" applyBorder="1" applyAlignment="1">
      <alignment horizontal="left" vertical="center" wrapText="1"/>
    </xf>
    <xf numFmtId="1" fontId="28" fillId="6" borderId="1" xfId="0" applyNumberFormat="1" applyFont="1" applyFill="1" applyBorder="1" applyAlignment="1">
      <alignment horizontal="center" vertical="center"/>
    </xf>
    <xf numFmtId="0" fontId="9" fillId="6" borderId="1" xfId="0" applyFont="1" applyFill="1" applyBorder="1" applyAlignment="1">
      <alignment horizontal="left" vertical="center" wrapText="1"/>
    </xf>
    <xf numFmtId="0" fontId="9" fillId="0" borderId="1" xfId="0" applyFont="1" applyFill="1" applyBorder="1" applyAlignment="1">
      <alignment horizontal="left" vertical="center" wrapText="1"/>
    </xf>
    <xf numFmtId="0" fontId="10" fillId="10" borderId="1" xfId="0" applyFont="1" applyFill="1" applyBorder="1" applyAlignment="1">
      <alignment horizontal="center" vertical="center" wrapText="1"/>
    </xf>
    <xf numFmtId="0" fontId="9" fillId="10" borderId="1" xfId="0" applyFont="1" applyFill="1" applyBorder="1" applyAlignment="1">
      <alignment horizontal="left" vertical="center" wrapText="1"/>
    </xf>
    <xf numFmtId="0" fontId="9" fillId="10" borderId="1" xfId="0" applyFont="1" applyFill="1" applyBorder="1" applyAlignment="1">
      <alignment horizontal="center" vertical="center" wrapText="1"/>
    </xf>
    <xf numFmtId="3" fontId="9" fillId="10" borderId="1" xfId="0" applyNumberFormat="1" applyFont="1" applyFill="1" applyBorder="1" applyAlignment="1">
      <alignment horizontal="center" vertical="center" wrapText="1"/>
    </xf>
    <xf numFmtId="0" fontId="5" fillId="10" borderId="0" xfId="0" applyFont="1" applyFill="1" applyAlignment="1">
      <alignment horizontal="center" vertical="center" wrapText="1"/>
    </xf>
    <xf numFmtId="0" fontId="35" fillId="10" borderId="1" xfId="0" applyFont="1" applyFill="1" applyBorder="1" applyAlignment="1">
      <alignment horizontal="center" vertical="center" wrapText="1"/>
    </xf>
    <xf numFmtId="0" fontId="28" fillId="10" borderId="1" xfId="0" applyFont="1" applyFill="1" applyBorder="1" applyAlignment="1">
      <alignment horizontal="left" vertical="center" wrapText="1"/>
    </xf>
    <xf numFmtId="0" fontId="28" fillId="10" borderId="1" xfId="0" applyFont="1" applyFill="1" applyBorder="1" applyAlignment="1">
      <alignment horizontal="center" vertical="center" wrapText="1"/>
    </xf>
    <xf numFmtId="3" fontId="28" fillId="10" borderId="1" xfId="0" applyNumberFormat="1" applyFont="1" applyFill="1" applyBorder="1" applyAlignment="1">
      <alignment horizontal="center" vertical="center" wrapText="1"/>
    </xf>
    <xf numFmtId="0" fontId="36" fillId="10" borderId="0" xfId="0" applyFont="1" applyFill="1" applyAlignment="1">
      <alignment horizontal="center" vertical="center" wrapText="1"/>
    </xf>
    <xf numFmtId="0" fontId="34" fillId="6" borderId="2" xfId="0" applyFont="1" applyFill="1" applyBorder="1" applyAlignment="1">
      <alignment horizontal="left" vertical="center" wrapText="1"/>
    </xf>
    <xf numFmtId="0" fontId="30" fillId="6" borderId="3" xfId="0" applyFont="1" applyFill="1" applyBorder="1" applyAlignment="1">
      <alignment horizontal="left" vertical="center" wrapText="1"/>
    </xf>
    <xf numFmtId="0" fontId="9" fillId="6" borderId="2" xfId="0" applyFont="1" applyFill="1" applyBorder="1" applyAlignment="1">
      <alignment horizontal="left" vertical="center" wrapText="1"/>
    </xf>
    <xf numFmtId="0" fontId="9" fillId="6" borderId="3" xfId="0" applyFont="1" applyFill="1" applyBorder="1" applyAlignment="1">
      <alignment horizontal="left" vertical="center" wrapText="1"/>
    </xf>
    <xf numFmtId="0" fontId="9" fillId="0" borderId="0" xfId="0" applyFont="1" applyFill="1" applyAlignment="1">
      <alignment horizontal="center" vertical="center" wrapText="1"/>
    </xf>
    <xf numFmtId="0" fontId="5" fillId="0" borderId="0" xfId="0" applyFont="1" applyAlignment="1">
      <alignment horizontal="center" vertical="center" wrapText="1"/>
    </xf>
    <xf numFmtId="0" fontId="11" fillId="0" borderId="0" xfId="0" applyFont="1" applyAlignment="1">
      <alignment horizontal="left" wrapText="1"/>
    </xf>
    <xf numFmtId="0" fontId="9" fillId="0" borderId="0" xfId="0" applyFont="1" applyAlignment="1">
      <alignment horizontal="left" wrapText="1"/>
    </xf>
    <xf numFmtId="0" fontId="9" fillId="6" borderId="2" xfId="0" applyFont="1" applyFill="1" applyBorder="1" applyAlignment="1">
      <alignment horizontal="left" vertical="top" wrapText="1"/>
    </xf>
    <xf numFmtId="0" fontId="9" fillId="6" borderId="4" xfId="0" applyFont="1" applyFill="1" applyBorder="1" applyAlignment="1">
      <alignment horizontal="left" vertical="top" wrapText="1"/>
    </xf>
    <xf numFmtId="0" fontId="11" fillId="6" borderId="1" xfId="0" applyFont="1" applyFill="1" applyBorder="1" applyAlignment="1">
      <alignment horizontal="left" vertical="top" wrapText="1"/>
    </xf>
    <xf numFmtId="0" fontId="11" fillId="7" borderId="1" xfId="0" applyFont="1" applyFill="1" applyBorder="1" applyAlignment="1">
      <alignment horizontal="center" vertical="center" wrapText="1"/>
    </xf>
    <xf numFmtId="0" fontId="22" fillId="7" borderId="1" xfId="0" applyFont="1" applyFill="1" applyBorder="1" applyAlignment="1">
      <alignment horizontal="center" vertical="center" wrapText="1"/>
    </xf>
    <xf numFmtId="0" fontId="7" fillId="7" borderId="1" xfId="0" applyFont="1" applyFill="1" applyBorder="1" applyAlignment="1">
      <alignment horizontal="center" vertical="center" wrapText="1"/>
    </xf>
    <xf numFmtId="0" fontId="11" fillId="0" borderId="1" xfId="0" applyFont="1" applyFill="1" applyBorder="1" applyAlignment="1">
      <alignment horizontal="left" vertical="top" wrapText="1"/>
    </xf>
    <xf numFmtId="0" fontId="9" fillId="0" borderId="1" xfId="0" applyFont="1" applyFill="1" applyBorder="1" applyAlignment="1">
      <alignment horizontal="left" vertical="top" wrapText="1"/>
    </xf>
    <xf numFmtId="0" fontId="11" fillId="0" borderId="2" xfId="0" applyFont="1" applyFill="1" applyBorder="1" applyAlignment="1">
      <alignment horizontal="left" vertical="top" wrapText="1"/>
    </xf>
    <xf numFmtId="0" fontId="7" fillId="0" borderId="4" xfId="0" applyFont="1" applyFill="1" applyBorder="1" applyAlignment="1">
      <alignment horizontal="left" vertical="top" wrapText="1"/>
    </xf>
    <xf numFmtId="0" fontId="9" fillId="0" borderId="2" xfId="0" applyFont="1" applyFill="1" applyBorder="1" applyAlignment="1">
      <alignment horizontal="left" vertical="center" wrapText="1"/>
    </xf>
    <xf numFmtId="0" fontId="9" fillId="0" borderId="3" xfId="0" applyFont="1" applyFill="1" applyBorder="1" applyAlignment="1">
      <alignment horizontal="left" vertical="center" wrapText="1"/>
    </xf>
    <xf numFmtId="0" fontId="9" fillId="0" borderId="1" xfId="0" applyFont="1" applyFill="1" applyBorder="1" applyAlignment="1">
      <alignment horizontal="left" vertical="center" wrapText="1"/>
    </xf>
    <xf numFmtId="0" fontId="18" fillId="4" borderId="1" xfId="0" applyFont="1" applyFill="1" applyBorder="1" applyAlignment="1">
      <alignment horizontal="center" vertical="center" wrapText="1"/>
    </xf>
    <xf numFmtId="0" fontId="9" fillId="6" borderId="1" xfId="0" applyFont="1" applyFill="1" applyBorder="1" applyAlignment="1">
      <alignment horizontal="left" vertical="center" wrapText="1"/>
    </xf>
    <xf numFmtId="0" fontId="11" fillId="7" borderId="2" xfId="0" applyFont="1" applyFill="1" applyBorder="1" applyAlignment="1">
      <alignment horizontal="center" vertical="center" wrapText="1"/>
    </xf>
    <xf numFmtId="0" fontId="11" fillId="7" borderId="4" xfId="0" applyFont="1" applyFill="1" applyBorder="1" applyAlignment="1">
      <alignment horizontal="center" vertical="center" wrapText="1"/>
    </xf>
    <xf numFmtId="0" fontId="11" fillId="7" borderId="3" xfId="0" applyFont="1" applyFill="1" applyBorder="1" applyAlignment="1">
      <alignment horizontal="center" vertical="center" wrapText="1"/>
    </xf>
    <xf numFmtId="0" fontId="11" fillId="6" borderId="1"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11" fillId="6" borderId="2" xfId="0" applyFont="1" applyFill="1" applyBorder="1" applyAlignment="1">
      <alignment horizontal="left" vertical="top" wrapText="1"/>
    </xf>
    <xf numFmtId="0" fontId="11" fillId="6" borderId="3" xfId="0" applyFont="1" applyFill="1" applyBorder="1" applyAlignment="1">
      <alignment horizontal="left" vertical="top" wrapText="1"/>
    </xf>
    <xf numFmtId="0" fontId="11" fillId="0" borderId="2" xfId="0" applyFont="1" applyFill="1" applyBorder="1" applyAlignment="1">
      <alignment horizontal="left" vertical="center" wrapText="1"/>
    </xf>
    <xf numFmtId="0" fontId="11" fillId="0" borderId="3" xfId="0" applyFont="1" applyFill="1" applyBorder="1" applyAlignment="1">
      <alignment horizontal="left" vertical="center" wrapText="1"/>
    </xf>
    <xf numFmtId="0" fontId="11" fillId="6" borderId="2" xfId="0" applyFont="1" applyFill="1" applyBorder="1" applyAlignment="1">
      <alignment horizontal="left" vertical="center" wrapText="1"/>
    </xf>
    <xf numFmtId="0" fontId="11" fillId="6" borderId="3" xfId="0" applyFont="1" applyFill="1" applyBorder="1" applyAlignment="1">
      <alignment horizontal="left" vertical="center" wrapText="1"/>
    </xf>
    <xf numFmtId="0" fontId="23" fillId="7" borderId="1" xfId="0" applyFont="1" applyFill="1" applyBorder="1" applyAlignment="1">
      <alignment horizontal="center" vertical="center" wrapText="1"/>
    </xf>
    <xf numFmtId="0" fontId="22" fillId="5" borderId="1" xfId="0" applyFont="1" applyFill="1" applyBorder="1" applyAlignment="1">
      <alignment horizontal="center"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6" borderId="2" xfId="0" applyFont="1" applyFill="1" applyBorder="1" applyAlignment="1">
      <alignment horizontal="left" vertical="top" wrapText="1"/>
    </xf>
    <xf numFmtId="0" fontId="31" fillId="6" borderId="3" xfId="0" applyFont="1" applyFill="1" applyBorder="1" applyAlignment="1">
      <alignment horizontal="left" vertical="top" wrapText="1"/>
    </xf>
    <xf numFmtId="0" fontId="31" fillId="6" borderId="2" xfId="0" applyFont="1" applyFill="1" applyBorder="1" applyAlignment="1">
      <alignment horizontal="left" vertical="center" wrapText="1"/>
    </xf>
    <xf numFmtId="0" fontId="27" fillId="6" borderId="3" xfId="0" applyFont="1" applyFill="1" applyBorder="1" applyAlignment="1">
      <alignment horizontal="left" vertical="center" wrapText="1"/>
    </xf>
    <xf numFmtId="0" fontId="18" fillId="7" borderId="1" xfId="0" applyFont="1" applyFill="1" applyBorder="1" applyAlignment="1">
      <alignment horizontal="center" vertical="center" wrapText="1"/>
    </xf>
    <xf numFmtId="0" fontId="9" fillId="0" borderId="3" xfId="0" applyFont="1" applyBorder="1" applyAlignment="1">
      <alignment horizontal="left" vertical="center" wrapText="1"/>
    </xf>
    <xf numFmtId="0" fontId="18" fillId="7" borderId="1" xfId="0" applyFont="1" applyFill="1" applyBorder="1" applyAlignment="1">
      <alignment horizontal="center"/>
    </xf>
    <xf numFmtId="0" fontId="9" fillId="6" borderId="1" xfId="0" applyFont="1" applyFill="1" applyBorder="1" applyAlignment="1">
      <alignment horizontal="left"/>
    </xf>
    <xf numFmtId="0" fontId="22" fillId="4" borderId="1" xfId="0" applyFont="1" applyFill="1" applyBorder="1" applyAlignment="1">
      <alignment horizontal="center" vertical="center" wrapText="1"/>
    </xf>
    <xf numFmtId="0" fontId="23" fillId="2" borderId="1" xfId="0" applyFont="1" applyFill="1" applyBorder="1" applyAlignment="1">
      <alignment horizontal="center" vertical="center" wrapText="1"/>
    </xf>
    <xf numFmtId="0" fontId="25" fillId="4" borderId="1" xfId="0" applyFont="1" applyFill="1" applyBorder="1" applyAlignment="1">
      <alignment horizontal="center" vertical="center" wrapText="1"/>
    </xf>
    <xf numFmtId="0" fontId="18" fillId="4" borderId="2" xfId="0" applyFont="1" applyFill="1" applyBorder="1" applyAlignment="1">
      <alignment horizontal="center" vertical="center" wrapText="1"/>
    </xf>
    <xf numFmtId="0" fontId="18" fillId="4" borderId="4" xfId="0" applyFont="1" applyFill="1" applyBorder="1" applyAlignment="1">
      <alignment horizontal="center" vertical="center" wrapText="1"/>
    </xf>
    <xf numFmtId="0" fontId="18" fillId="4" borderId="3"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24" fillId="9" borderId="2" xfId="0" applyFont="1" applyFill="1" applyBorder="1" applyAlignment="1">
      <alignment horizontal="center" vertical="center" wrapText="1"/>
    </xf>
    <xf numFmtId="0" fontId="24" fillId="9" borderId="4" xfId="0" applyFont="1" applyFill="1" applyBorder="1" applyAlignment="1">
      <alignment horizontal="center" vertical="center" wrapText="1"/>
    </xf>
    <xf numFmtId="0" fontId="24" fillId="9" borderId="3" xfId="0" applyFont="1" applyFill="1" applyBorder="1" applyAlignment="1">
      <alignment horizontal="center" vertical="center" wrapText="1"/>
    </xf>
    <xf numFmtId="0" fontId="23" fillId="4" borderId="1" xfId="0" applyFont="1" applyFill="1" applyBorder="1" applyAlignment="1">
      <alignment horizontal="center" vertical="center" wrapText="1"/>
    </xf>
    <xf numFmtId="0" fontId="24" fillId="2" borderId="1" xfId="0" applyFont="1" applyFill="1" applyBorder="1" applyAlignment="1">
      <alignment horizontal="center" vertical="center" wrapText="1"/>
    </xf>
    <xf numFmtId="0" fontId="10" fillId="7" borderId="4" xfId="0" applyFont="1" applyFill="1" applyBorder="1" applyAlignment="1">
      <alignment horizontal="center" vertical="center" wrapText="1"/>
    </xf>
    <xf numFmtId="0" fontId="10" fillId="7" borderId="3" xfId="0" applyFont="1" applyFill="1" applyBorder="1" applyAlignment="1">
      <alignment horizontal="center" vertical="center" wrapText="1"/>
    </xf>
    <xf numFmtId="0" fontId="18" fillId="7" borderId="2" xfId="0" applyFont="1" applyFill="1" applyBorder="1" applyAlignment="1">
      <alignment horizontal="center" vertical="center" wrapText="1"/>
    </xf>
    <xf numFmtId="0" fontId="18" fillId="7" borderId="4" xfId="0" applyFont="1" applyFill="1" applyBorder="1" applyAlignment="1">
      <alignment horizontal="center" vertical="center" wrapText="1"/>
    </xf>
    <xf numFmtId="0" fontId="18" fillId="7" borderId="3"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11" fillId="0" borderId="0" xfId="0" applyFont="1" applyBorder="1" applyAlignment="1">
      <alignment horizontal="center"/>
    </xf>
    <xf numFmtId="0" fontId="25" fillId="5" borderId="1" xfId="0" applyFont="1" applyFill="1" applyBorder="1" applyAlignment="1">
      <alignment horizontal="center" vertical="center" wrapText="1"/>
    </xf>
    <xf numFmtId="0" fontId="23" fillId="5" borderId="1" xfId="0" applyFont="1" applyFill="1" applyBorder="1" applyAlignment="1">
      <alignment horizontal="center" vertical="center" wrapText="1"/>
    </xf>
    <xf numFmtId="0" fontId="28" fillId="6" borderId="1" xfId="0" applyFont="1" applyFill="1" applyBorder="1" applyAlignment="1">
      <alignment horizontal="left" vertical="center" wrapText="1"/>
    </xf>
    <xf numFmtId="0" fontId="28" fillId="6" borderId="2" xfId="0" applyFont="1" applyFill="1" applyBorder="1" applyAlignment="1">
      <alignment horizontal="left" vertical="center" wrapText="1"/>
    </xf>
    <xf numFmtId="0" fontId="28" fillId="0" borderId="3" xfId="0" applyFont="1" applyBorder="1" applyAlignment="1">
      <alignment horizontal="left" vertical="center" wrapText="1"/>
    </xf>
    <xf numFmtId="0" fontId="9" fillId="0" borderId="1" xfId="0" applyFont="1" applyFill="1" applyBorder="1" applyAlignment="1">
      <alignment vertical="center" wrapText="1"/>
    </xf>
    <xf numFmtId="3" fontId="9" fillId="0" borderId="0" xfId="0" applyNumberFormat="1" applyFont="1" applyFill="1" applyAlignment="1">
      <alignment horizontal="center" vertical="center" wrapText="1"/>
    </xf>
    <xf numFmtId="3" fontId="9" fillId="0" borderId="0" xfId="0" applyNumberFormat="1" applyFont="1" applyFill="1" applyAlignment="1">
      <alignment horizontal="left" vertical="center" wrapText="1"/>
    </xf>
    <xf numFmtId="0" fontId="7" fillId="0" borderId="2" xfId="0" applyFont="1" applyFill="1" applyBorder="1" applyAlignment="1">
      <alignment horizontal="left" vertical="center" wrapText="1"/>
    </xf>
    <xf numFmtId="0" fontId="7" fillId="0" borderId="4" xfId="0" applyFont="1" applyFill="1" applyBorder="1" applyAlignment="1">
      <alignment horizontal="left" vertical="center" wrapText="1"/>
    </xf>
    <xf numFmtId="0" fontId="11" fillId="6" borderId="1" xfId="0" applyFont="1" applyFill="1" applyBorder="1" applyAlignment="1">
      <alignment vertical="center" wrapText="1"/>
    </xf>
  </cellXfs>
  <cellStyles count="1">
    <cellStyle name="Обычный"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24"/>
  <sheetViews>
    <sheetView tabSelected="1" view="pageBreakPreview" topLeftCell="A12" zoomScaleSheetLayoutView="100" workbookViewId="0">
      <selection activeCell="D15" sqref="D15"/>
    </sheetView>
  </sheetViews>
  <sheetFormatPr baseColWidth="10" defaultColWidth="9.1640625" defaultRowHeight="15" x14ac:dyDescent="0.2"/>
  <cols>
    <col min="1" max="1" width="10.1640625" style="31" customWidth="1"/>
    <col min="2" max="2" width="56.83203125" style="55" customWidth="1"/>
    <col min="3" max="3" width="10.33203125" style="64" customWidth="1"/>
    <col min="4" max="4" width="7.5" style="61" customWidth="1"/>
    <col min="5" max="5" width="12.5" style="10" customWidth="1"/>
    <col min="6" max="16384" width="9.1640625" style="1"/>
  </cols>
  <sheetData>
    <row r="1" spans="1:5" s="3" customFormat="1" ht="20" customHeight="1" x14ac:dyDescent="0.15">
      <c r="A1" s="107" t="s">
        <v>1804</v>
      </c>
      <c r="B1" s="108"/>
      <c r="C1" s="108"/>
      <c r="D1" s="108"/>
      <c r="E1" s="108"/>
    </row>
    <row r="2" spans="1:5" s="3" customFormat="1" ht="20" customHeight="1" x14ac:dyDescent="0.15">
      <c r="A2" s="49"/>
      <c r="B2" s="52"/>
      <c r="C2" s="65"/>
      <c r="D2" s="65"/>
      <c r="E2" s="19"/>
    </row>
    <row r="3" spans="1:5" s="13" customFormat="1" ht="17.5" customHeight="1" x14ac:dyDescent="0.15">
      <c r="A3" s="165" t="s">
        <v>1443</v>
      </c>
      <c r="B3" s="165"/>
      <c r="C3" s="165"/>
      <c r="D3" s="165"/>
      <c r="E3" s="165"/>
    </row>
    <row r="4" spans="1:5" s="12" customFormat="1" ht="36" x14ac:dyDescent="0.2">
      <c r="A4" s="21" t="s">
        <v>1352</v>
      </c>
      <c r="B4" s="22" t="s">
        <v>157</v>
      </c>
      <c r="C4" s="22" t="s">
        <v>158</v>
      </c>
      <c r="D4" s="23" t="s">
        <v>159</v>
      </c>
      <c r="E4" s="21" t="s">
        <v>1353</v>
      </c>
    </row>
    <row r="5" spans="1:5" s="16" customFormat="1" ht="15" customHeight="1" x14ac:dyDescent="0.2">
      <c r="A5" s="148" t="s">
        <v>176</v>
      </c>
      <c r="B5" s="148"/>
      <c r="C5" s="148"/>
      <c r="D5" s="148"/>
      <c r="E5" s="148"/>
    </row>
    <row r="6" spans="1:5" ht="15" customHeight="1" x14ac:dyDescent="0.2">
      <c r="A6" s="27" t="s">
        <v>177</v>
      </c>
      <c r="B6" s="59" t="s">
        <v>178</v>
      </c>
      <c r="C6" s="25" t="s">
        <v>179</v>
      </c>
      <c r="D6" s="26">
        <f>120+130</f>
        <v>250</v>
      </c>
      <c r="E6" s="24" t="s">
        <v>1298</v>
      </c>
    </row>
    <row r="7" spans="1:5" ht="15" customHeight="1" x14ac:dyDescent="0.2">
      <c r="A7" s="27" t="s">
        <v>1644</v>
      </c>
      <c r="B7" s="59" t="s">
        <v>180</v>
      </c>
      <c r="C7" s="25" t="s">
        <v>179</v>
      </c>
      <c r="D7" s="26">
        <f>160+200</f>
        <v>360</v>
      </c>
      <c r="E7" s="24" t="s">
        <v>1298</v>
      </c>
    </row>
    <row r="8" spans="1:5" s="10" customFormat="1" ht="13" x14ac:dyDescent="0.2">
      <c r="A8" s="27" t="s">
        <v>177</v>
      </c>
      <c r="B8" s="59" t="s">
        <v>1448</v>
      </c>
      <c r="C8" s="25" t="s">
        <v>179</v>
      </c>
      <c r="D8" s="26">
        <f>90+60</f>
        <v>150</v>
      </c>
      <c r="E8" s="24" t="s">
        <v>1298</v>
      </c>
    </row>
    <row r="9" spans="1:5" ht="26" x14ac:dyDescent="0.2">
      <c r="A9" s="27" t="s">
        <v>144</v>
      </c>
      <c r="B9" s="59" t="s">
        <v>1449</v>
      </c>
      <c r="C9" s="25" t="s">
        <v>179</v>
      </c>
      <c r="D9" s="26">
        <f>90+90</f>
        <v>180</v>
      </c>
      <c r="E9" s="24" t="s">
        <v>1298</v>
      </c>
    </row>
    <row r="10" spans="1:5" s="2" customFormat="1" ht="26" x14ac:dyDescent="0.2">
      <c r="A10" s="27" t="s">
        <v>815</v>
      </c>
      <c r="B10" s="59" t="s">
        <v>1450</v>
      </c>
      <c r="C10" s="28" t="s">
        <v>179</v>
      </c>
      <c r="D10" s="26">
        <f>90+110</f>
        <v>200</v>
      </c>
      <c r="E10" s="24" t="s">
        <v>1298</v>
      </c>
    </row>
    <row r="11" spans="1:5" x14ac:dyDescent="0.2">
      <c r="A11" s="27" t="s">
        <v>181</v>
      </c>
      <c r="B11" s="59" t="s">
        <v>1451</v>
      </c>
      <c r="C11" s="25" t="s">
        <v>179</v>
      </c>
      <c r="D11" s="26">
        <f>100+100</f>
        <v>200</v>
      </c>
      <c r="E11" s="24" t="s">
        <v>1298</v>
      </c>
    </row>
    <row r="12" spans="1:5" x14ac:dyDescent="0.2">
      <c r="A12" s="27" t="s">
        <v>182</v>
      </c>
      <c r="B12" s="59" t="s">
        <v>183</v>
      </c>
      <c r="C12" s="25" t="s">
        <v>184</v>
      </c>
      <c r="D12" s="26">
        <f>90+110</f>
        <v>200</v>
      </c>
      <c r="E12" s="24" t="s">
        <v>1298</v>
      </c>
    </row>
    <row r="13" spans="1:5" ht="15" customHeight="1" x14ac:dyDescent="0.2">
      <c r="A13" s="27" t="s">
        <v>82</v>
      </c>
      <c r="B13" s="59" t="s">
        <v>185</v>
      </c>
      <c r="C13" s="25" t="s">
        <v>179</v>
      </c>
      <c r="D13" s="26">
        <f>80+70</f>
        <v>150</v>
      </c>
      <c r="E13" s="24" t="s">
        <v>1298</v>
      </c>
    </row>
    <row r="14" spans="1:5" s="16" customFormat="1" ht="15" customHeight="1" x14ac:dyDescent="0.2">
      <c r="A14" s="148" t="s">
        <v>186</v>
      </c>
      <c r="B14" s="148"/>
      <c r="C14" s="148"/>
      <c r="D14" s="148"/>
      <c r="E14" s="148"/>
    </row>
    <row r="15" spans="1:5" ht="15" customHeight="1" x14ac:dyDescent="0.2">
      <c r="A15" s="27" t="s">
        <v>190</v>
      </c>
      <c r="B15" s="59" t="s">
        <v>191</v>
      </c>
      <c r="C15" s="25"/>
      <c r="D15" s="26">
        <f>330+70</f>
        <v>400</v>
      </c>
      <c r="E15" s="24" t="s">
        <v>1298</v>
      </c>
    </row>
    <row r="16" spans="1:5" ht="30" customHeight="1" x14ac:dyDescent="0.2">
      <c r="A16" s="27" t="s">
        <v>187</v>
      </c>
      <c r="B16" s="59" t="s">
        <v>1048</v>
      </c>
      <c r="C16" s="25" t="s">
        <v>184</v>
      </c>
      <c r="D16" s="26">
        <f>300+100</f>
        <v>400</v>
      </c>
      <c r="E16" s="24" t="s">
        <v>1298</v>
      </c>
    </row>
    <row r="17" spans="1:5" ht="30" customHeight="1" x14ac:dyDescent="0.2">
      <c r="A17" s="27" t="s">
        <v>1206</v>
      </c>
      <c r="B17" s="59" t="s">
        <v>140</v>
      </c>
      <c r="C17" s="25" t="s">
        <v>179</v>
      </c>
      <c r="D17" s="26">
        <f>770+230</f>
        <v>1000</v>
      </c>
      <c r="E17" s="24" t="s">
        <v>1299</v>
      </c>
    </row>
    <row r="18" spans="1:5" ht="15" customHeight="1" x14ac:dyDescent="0.2">
      <c r="A18" s="27" t="s">
        <v>188</v>
      </c>
      <c r="B18" s="59" t="s">
        <v>189</v>
      </c>
      <c r="C18" s="25" t="s">
        <v>179</v>
      </c>
      <c r="D18" s="26">
        <f>620+100</f>
        <v>720</v>
      </c>
      <c r="E18" s="24" t="s">
        <v>1300</v>
      </c>
    </row>
    <row r="19" spans="1:5" s="8" customFormat="1" ht="30" customHeight="1" x14ac:dyDescent="0.15">
      <c r="A19" s="27" t="s">
        <v>1034</v>
      </c>
      <c r="B19" s="53" t="s">
        <v>1035</v>
      </c>
      <c r="C19" s="25" t="s">
        <v>184</v>
      </c>
      <c r="D19" s="29">
        <f>550+100</f>
        <v>650</v>
      </c>
      <c r="E19" s="24" t="s">
        <v>1298</v>
      </c>
    </row>
    <row r="20" spans="1:5" s="16" customFormat="1" ht="15" customHeight="1" x14ac:dyDescent="0.2">
      <c r="A20" s="148" t="s">
        <v>192</v>
      </c>
      <c r="B20" s="148"/>
      <c r="C20" s="148"/>
      <c r="D20" s="148"/>
      <c r="E20" s="148"/>
    </row>
    <row r="21" spans="1:5" ht="15" customHeight="1" x14ac:dyDescent="0.2">
      <c r="A21" s="27" t="s">
        <v>145</v>
      </c>
      <c r="B21" s="59" t="s">
        <v>193</v>
      </c>
      <c r="C21" s="28" t="s">
        <v>179</v>
      </c>
      <c r="D21" s="26">
        <f>195+100</f>
        <v>295</v>
      </c>
      <c r="E21" s="24" t="s">
        <v>1298</v>
      </c>
    </row>
    <row r="22" spans="1:5" ht="15" customHeight="1" x14ac:dyDescent="0.2">
      <c r="A22" s="27" t="s">
        <v>194</v>
      </c>
      <c r="B22" s="59" t="s">
        <v>1059</v>
      </c>
      <c r="C22" s="28" t="s">
        <v>179</v>
      </c>
      <c r="D22" s="26">
        <f>145+55</f>
        <v>200</v>
      </c>
      <c r="E22" s="24" t="s">
        <v>1298</v>
      </c>
    </row>
    <row r="23" spans="1:5" s="5" customFormat="1" ht="15" customHeight="1" x14ac:dyDescent="0.2">
      <c r="A23" s="27" t="s">
        <v>1056</v>
      </c>
      <c r="B23" s="59" t="s">
        <v>1452</v>
      </c>
      <c r="C23" s="28" t="s">
        <v>179</v>
      </c>
      <c r="D23" s="26">
        <f>155+45</f>
        <v>200</v>
      </c>
      <c r="E23" s="24" t="s">
        <v>1298</v>
      </c>
    </row>
    <row r="24" spans="1:5" x14ac:dyDescent="0.2">
      <c r="A24" s="27" t="s">
        <v>1645</v>
      </c>
      <c r="B24" s="59" t="s">
        <v>195</v>
      </c>
      <c r="C24" s="28" t="s">
        <v>179</v>
      </c>
      <c r="D24" s="26">
        <f>110+100</f>
        <v>210</v>
      </c>
      <c r="E24" s="24" t="s">
        <v>1298</v>
      </c>
    </row>
    <row r="25" spans="1:5" ht="15" customHeight="1" x14ac:dyDescent="0.2">
      <c r="A25" s="27" t="s">
        <v>196</v>
      </c>
      <c r="B25" s="59" t="s">
        <v>197</v>
      </c>
      <c r="C25" s="28" t="s">
        <v>179</v>
      </c>
      <c r="D25" s="26">
        <f>155+55</f>
        <v>210</v>
      </c>
      <c r="E25" s="24" t="s">
        <v>1298</v>
      </c>
    </row>
    <row r="26" spans="1:5" ht="15" customHeight="1" x14ac:dyDescent="0.2">
      <c r="A26" s="27" t="s">
        <v>198</v>
      </c>
      <c r="B26" s="59" t="s">
        <v>199</v>
      </c>
      <c r="C26" s="28" t="s">
        <v>179</v>
      </c>
      <c r="D26" s="26">
        <f>140+70</f>
        <v>210</v>
      </c>
      <c r="E26" s="24" t="s">
        <v>1298</v>
      </c>
    </row>
    <row r="27" spans="1:5" ht="15" customHeight="1" x14ac:dyDescent="0.2">
      <c r="A27" s="27" t="s">
        <v>1447</v>
      </c>
      <c r="B27" s="59" t="s">
        <v>1060</v>
      </c>
      <c r="C27" s="28" t="s">
        <v>179</v>
      </c>
      <c r="D27" s="26">
        <f>810+190</f>
        <v>1000</v>
      </c>
      <c r="E27" s="24" t="s">
        <v>1298</v>
      </c>
    </row>
    <row r="28" spans="1:5" ht="15" customHeight="1" x14ac:dyDescent="0.2">
      <c r="A28" s="27" t="s">
        <v>200</v>
      </c>
      <c r="B28" s="59" t="s">
        <v>201</v>
      </c>
      <c r="C28" s="28" t="s">
        <v>184</v>
      </c>
      <c r="D28" s="26">
        <f>650+110</f>
        <v>760</v>
      </c>
      <c r="E28" s="24" t="s">
        <v>1298</v>
      </c>
    </row>
    <row r="29" spans="1:5" ht="15" customHeight="1" x14ac:dyDescent="0.2">
      <c r="A29" s="27" t="s">
        <v>845</v>
      </c>
      <c r="B29" s="59" t="s">
        <v>625</v>
      </c>
      <c r="C29" s="28" t="s">
        <v>179</v>
      </c>
      <c r="D29" s="26">
        <f>1380+320</f>
        <v>1700</v>
      </c>
      <c r="E29" s="24" t="s">
        <v>1298</v>
      </c>
    </row>
    <row r="30" spans="1:5" ht="15" customHeight="1" x14ac:dyDescent="0.2">
      <c r="A30" s="27" t="s">
        <v>846</v>
      </c>
      <c r="B30" s="59" t="s">
        <v>847</v>
      </c>
      <c r="C30" s="28" t="s">
        <v>179</v>
      </c>
      <c r="D30" s="26">
        <f>1450+300</f>
        <v>1750</v>
      </c>
      <c r="E30" s="24" t="s">
        <v>1298</v>
      </c>
    </row>
    <row r="31" spans="1:5" ht="15" customHeight="1" x14ac:dyDescent="0.2">
      <c r="A31" s="27" t="s">
        <v>849</v>
      </c>
      <c r="B31" s="59" t="s">
        <v>848</v>
      </c>
      <c r="C31" s="28" t="s">
        <v>179</v>
      </c>
      <c r="D31" s="26">
        <f>1650+150</f>
        <v>1800</v>
      </c>
      <c r="E31" s="24" t="s">
        <v>1298</v>
      </c>
    </row>
    <row r="32" spans="1:5" s="16" customFormat="1" ht="15" customHeight="1" x14ac:dyDescent="0.2">
      <c r="A32" s="148" t="s">
        <v>202</v>
      </c>
      <c r="B32" s="148"/>
      <c r="C32" s="148"/>
      <c r="D32" s="148"/>
      <c r="E32" s="148"/>
    </row>
    <row r="33" spans="1:5" ht="15" customHeight="1" x14ac:dyDescent="0.2">
      <c r="A33" s="149" t="s">
        <v>203</v>
      </c>
      <c r="B33" s="149"/>
      <c r="C33" s="149"/>
      <c r="D33" s="149"/>
      <c r="E33" s="149"/>
    </row>
    <row r="34" spans="1:5" ht="15" customHeight="1" x14ac:dyDescent="0.2">
      <c r="A34" s="27" t="s">
        <v>1207</v>
      </c>
      <c r="B34" s="59" t="s">
        <v>204</v>
      </c>
      <c r="C34" s="28" t="s">
        <v>179</v>
      </c>
      <c r="D34" s="26">
        <f>95+55</f>
        <v>150</v>
      </c>
      <c r="E34" s="24" t="s">
        <v>1298</v>
      </c>
    </row>
    <row r="35" spans="1:5" ht="15" customHeight="1" x14ac:dyDescent="0.2">
      <c r="A35" s="27" t="s">
        <v>1208</v>
      </c>
      <c r="B35" s="59" t="s">
        <v>205</v>
      </c>
      <c r="C35" s="28" t="s">
        <v>179</v>
      </c>
      <c r="D35" s="26">
        <f>95+60</f>
        <v>155</v>
      </c>
      <c r="E35" s="24" t="s">
        <v>1298</v>
      </c>
    </row>
    <row r="36" spans="1:5" ht="15" customHeight="1" x14ac:dyDescent="0.2">
      <c r="A36" s="27" t="s">
        <v>1209</v>
      </c>
      <c r="B36" s="59" t="s">
        <v>206</v>
      </c>
      <c r="C36" s="28" t="s">
        <v>179</v>
      </c>
      <c r="D36" s="26">
        <f>95+60</f>
        <v>155</v>
      </c>
      <c r="E36" s="24" t="s">
        <v>1298</v>
      </c>
    </row>
    <row r="37" spans="1:5" ht="15" customHeight="1" x14ac:dyDescent="0.2">
      <c r="A37" s="27" t="s">
        <v>1646</v>
      </c>
      <c r="B37" s="59" t="s">
        <v>207</v>
      </c>
      <c r="C37" s="28" t="s">
        <v>179</v>
      </c>
      <c r="D37" s="26">
        <f>330+70</f>
        <v>400</v>
      </c>
      <c r="E37" s="24" t="s">
        <v>1298</v>
      </c>
    </row>
    <row r="38" spans="1:5" s="5" customFormat="1" ht="15" customHeight="1" x14ac:dyDescent="0.2">
      <c r="A38" s="27" t="s">
        <v>208</v>
      </c>
      <c r="B38" s="59" t="s">
        <v>209</v>
      </c>
      <c r="C38" s="28" t="s">
        <v>179</v>
      </c>
      <c r="D38" s="26">
        <f>270+130</f>
        <v>400</v>
      </c>
      <c r="E38" s="24" t="s">
        <v>1298</v>
      </c>
    </row>
    <row r="39" spans="1:5" ht="15" customHeight="1" x14ac:dyDescent="0.2">
      <c r="A39" s="27" t="s">
        <v>210</v>
      </c>
      <c r="B39" s="59" t="s">
        <v>211</v>
      </c>
      <c r="C39" s="28" t="s">
        <v>179</v>
      </c>
      <c r="D39" s="26">
        <f>95+55</f>
        <v>150</v>
      </c>
      <c r="E39" s="24" t="s">
        <v>1298</v>
      </c>
    </row>
    <row r="40" spans="1:5" s="5" customFormat="1" ht="30" customHeight="1" x14ac:dyDescent="0.2">
      <c r="A40" s="27" t="s">
        <v>1647</v>
      </c>
      <c r="B40" s="59" t="s">
        <v>1020</v>
      </c>
      <c r="C40" s="28" t="s">
        <v>179</v>
      </c>
      <c r="D40" s="26">
        <f>190+210</f>
        <v>400</v>
      </c>
      <c r="E40" s="24" t="s">
        <v>1298</v>
      </c>
    </row>
    <row r="41" spans="1:5" s="5" customFormat="1" ht="30" customHeight="1" x14ac:dyDescent="0.2">
      <c r="A41" s="27" t="s">
        <v>1647</v>
      </c>
      <c r="B41" s="59" t="s">
        <v>1021</v>
      </c>
      <c r="C41" s="28" t="s">
        <v>179</v>
      </c>
      <c r="D41" s="26">
        <f>285+235</f>
        <v>520</v>
      </c>
      <c r="E41" s="24" t="s">
        <v>1298</v>
      </c>
    </row>
    <row r="42" spans="1:5" ht="15" customHeight="1" x14ac:dyDescent="0.2">
      <c r="A42" s="27" t="s">
        <v>1710</v>
      </c>
      <c r="B42" s="59" t="s">
        <v>212</v>
      </c>
      <c r="C42" s="28" t="s">
        <v>179</v>
      </c>
      <c r="D42" s="26">
        <f>850+300</f>
        <v>1150</v>
      </c>
      <c r="E42" s="24" t="s">
        <v>1298</v>
      </c>
    </row>
    <row r="43" spans="1:5" ht="15" customHeight="1" x14ac:dyDescent="0.2">
      <c r="A43" s="27" t="s">
        <v>1210</v>
      </c>
      <c r="B43" s="59" t="s">
        <v>155</v>
      </c>
      <c r="C43" s="28" t="s">
        <v>179</v>
      </c>
      <c r="D43" s="26">
        <f>300+135</f>
        <v>435</v>
      </c>
      <c r="E43" s="24" t="s">
        <v>1298</v>
      </c>
    </row>
    <row r="44" spans="1:5" ht="15" customHeight="1" x14ac:dyDescent="0.2">
      <c r="A44" s="27" t="s">
        <v>1211</v>
      </c>
      <c r="B44" s="59" t="s">
        <v>217</v>
      </c>
      <c r="C44" s="28" t="s">
        <v>179</v>
      </c>
      <c r="D44" s="26">
        <f>95+55</f>
        <v>150</v>
      </c>
      <c r="E44" s="24" t="s">
        <v>1298</v>
      </c>
    </row>
    <row r="45" spans="1:5" ht="30" customHeight="1" x14ac:dyDescent="0.2">
      <c r="A45" s="27" t="s">
        <v>1212</v>
      </c>
      <c r="B45" s="59" t="s">
        <v>1691</v>
      </c>
      <c r="C45" s="28" t="s">
        <v>179</v>
      </c>
      <c r="D45" s="26">
        <f>105+50</f>
        <v>155</v>
      </c>
      <c r="E45" s="24" t="s">
        <v>1298</v>
      </c>
    </row>
    <row r="46" spans="1:5" ht="15" customHeight="1" x14ac:dyDescent="0.2">
      <c r="A46" s="27" t="s">
        <v>1213</v>
      </c>
      <c r="B46" s="59" t="s">
        <v>218</v>
      </c>
      <c r="C46" s="28" t="s">
        <v>179</v>
      </c>
      <c r="D46" s="26">
        <f>500+150</f>
        <v>650</v>
      </c>
      <c r="E46" s="24" t="s">
        <v>1298</v>
      </c>
    </row>
    <row r="47" spans="1:5" ht="15" customHeight="1" x14ac:dyDescent="0.2">
      <c r="A47" s="27" t="s">
        <v>1216</v>
      </c>
      <c r="B47" s="59" t="s">
        <v>219</v>
      </c>
      <c r="C47" s="28" t="s">
        <v>179</v>
      </c>
      <c r="D47" s="26">
        <f>100+50</f>
        <v>150</v>
      </c>
      <c r="E47" s="24" t="s">
        <v>1298</v>
      </c>
    </row>
    <row r="48" spans="1:5" ht="15" customHeight="1" x14ac:dyDescent="0.2">
      <c r="A48" s="27" t="s">
        <v>1214</v>
      </c>
      <c r="B48" s="59" t="s">
        <v>220</v>
      </c>
      <c r="C48" s="28" t="s">
        <v>179</v>
      </c>
      <c r="D48" s="26">
        <f>95+55</f>
        <v>150</v>
      </c>
      <c r="E48" s="24" t="s">
        <v>1298</v>
      </c>
    </row>
    <row r="49" spans="1:5" ht="15" customHeight="1" x14ac:dyDescent="0.2">
      <c r="A49" s="27" t="s">
        <v>1215</v>
      </c>
      <c r="B49" s="59" t="s">
        <v>221</v>
      </c>
      <c r="C49" s="28" t="s">
        <v>179</v>
      </c>
      <c r="D49" s="26">
        <f>95+55</f>
        <v>150</v>
      </c>
      <c r="E49" s="24" t="s">
        <v>1298</v>
      </c>
    </row>
    <row r="50" spans="1:5" ht="15" customHeight="1" x14ac:dyDescent="0.2">
      <c r="A50" s="27" t="s">
        <v>222</v>
      </c>
      <c r="B50" s="59" t="s">
        <v>237</v>
      </c>
      <c r="C50" s="28" t="s">
        <v>179</v>
      </c>
      <c r="D50" s="26">
        <f>250+15</f>
        <v>265</v>
      </c>
      <c r="E50" s="27" t="s">
        <v>1300</v>
      </c>
    </row>
    <row r="51" spans="1:5" ht="15" customHeight="1" x14ac:dyDescent="0.2">
      <c r="A51" s="149" t="s">
        <v>238</v>
      </c>
      <c r="B51" s="149"/>
      <c r="C51" s="149"/>
      <c r="D51" s="149"/>
      <c r="E51" s="149"/>
    </row>
    <row r="52" spans="1:5" ht="15" customHeight="1" x14ac:dyDescent="0.2">
      <c r="A52" s="27" t="s">
        <v>1217</v>
      </c>
      <c r="B52" s="59" t="s">
        <v>239</v>
      </c>
      <c r="C52" s="28" t="s">
        <v>179</v>
      </c>
      <c r="D52" s="26">
        <f>95+55</f>
        <v>150</v>
      </c>
      <c r="E52" s="24" t="s">
        <v>1298</v>
      </c>
    </row>
    <row r="53" spans="1:5" ht="15" customHeight="1" x14ac:dyDescent="0.2">
      <c r="A53" s="27" t="s">
        <v>1218</v>
      </c>
      <c r="B53" s="59" t="s">
        <v>240</v>
      </c>
      <c r="C53" s="28" t="s">
        <v>179</v>
      </c>
      <c r="D53" s="26">
        <f>115+45</f>
        <v>160</v>
      </c>
      <c r="E53" s="24" t="s">
        <v>1298</v>
      </c>
    </row>
    <row r="54" spans="1:5" ht="15" customHeight="1" x14ac:dyDescent="0.2">
      <c r="A54" s="27" t="s">
        <v>1219</v>
      </c>
      <c r="B54" s="59" t="s">
        <v>141</v>
      </c>
      <c r="C54" s="28" t="s">
        <v>179</v>
      </c>
      <c r="D54" s="26">
        <f>160+60</f>
        <v>220</v>
      </c>
      <c r="E54" s="24" t="s">
        <v>1298</v>
      </c>
    </row>
    <row r="55" spans="1:5" ht="15" customHeight="1" x14ac:dyDescent="0.2">
      <c r="A55" s="27" t="s">
        <v>1220</v>
      </c>
      <c r="B55" s="59" t="s">
        <v>241</v>
      </c>
      <c r="C55" s="28" t="s">
        <v>179</v>
      </c>
      <c r="D55" s="26">
        <f>95+55</f>
        <v>150</v>
      </c>
      <c r="E55" s="24" t="s">
        <v>1298</v>
      </c>
    </row>
    <row r="56" spans="1:5" ht="15" customHeight="1" x14ac:dyDescent="0.2">
      <c r="A56" s="27" t="s">
        <v>1221</v>
      </c>
      <c r="B56" s="59" t="s">
        <v>242</v>
      </c>
      <c r="C56" s="28" t="s">
        <v>179</v>
      </c>
      <c r="D56" s="26">
        <f>95+55</f>
        <v>150</v>
      </c>
      <c r="E56" s="24" t="s">
        <v>1298</v>
      </c>
    </row>
    <row r="57" spans="1:5" ht="15" customHeight="1" x14ac:dyDescent="0.2">
      <c r="A57" s="27" t="s">
        <v>1222</v>
      </c>
      <c r="B57" s="59" t="s">
        <v>243</v>
      </c>
      <c r="C57" s="28" t="s">
        <v>179</v>
      </c>
      <c r="D57" s="26">
        <f>150+50</f>
        <v>200</v>
      </c>
      <c r="E57" s="24" t="s">
        <v>1298</v>
      </c>
    </row>
    <row r="58" spans="1:5" ht="15" customHeight="1" x14ac:dyDescent="0.2">
      <c r="A58" s="27" t="s">
        <v>1223</v>
      </c>
      <c r="B58" s="59" t="s">
        <v>244</v>
      </c>
      <c r="C58" s="28" t="s">
        <v>179</v>
      </c>
      <c r="D58" s="26">
        <f>130+20</f>
        <v>150</v>
      </c>
      <c r="E58" s="24" t="s">
        <v>1298</v>
      </c>
    </row>
    <row r="59" spans="1:5" ht="15" customHeight="1" x14ac:dyDescent="0.2">
      <c r="A59" s="27" t="s">
        <v>1224</v>
      </c>
      <c r="B59" s="59" t="s">
        <v>245</v>
      </c>
      <c r="C59" s="28" t="s">
        <v>179</v>
      </c>
      <c r="D59" s="26">
        <f>150+70</f>
        <v>220</v>
      </c>
      <c r="E59" s="24" t="s">
        <v>1298</v>
      </c>
    </row>
    <row r="60" spans="1:5" ht="15" customHeight="1" x14ac:dyDescent="0.2">
      <c r="A60" s="27" t="s">
        <v>1225</v>
      </c>
      <c r="B60" s="59" t="s">
        <v>692</v>
      </c>
      <c r="C60" s="28" t="s">
        <v>179</v>
      </c>
      <c r="D60" s="26">
        <f>95+55</f>
        <v>150</v>
      </c>
      <c r="E60" s="24" t="s">
        <v>1298</v>
      </c>
    </row>
    <row r="61" spans="1:5" ht="15" customHeight="1" x14ac:dyDescent="0.2">
      <c r="A61" s="27" t="s">
        <v>1226</v>
      </c>
      <c r="B61" s="59" t="s">
        <v>246</v>
      </c>
      <c r="C61" s="28" t="s">
        <v>179</v>
      </c>
      <c r="D61" s="26">
        <f>140+45</f>
        <v>185</v>
      </c>
      <c r="E61" s="24" t="s">
        <v>1298</v>
      </c>
    </row>
    <row r="62" spans="1:5" ht="15" customHeight="1" x14ac:dyDescent="0.2">
      <c r="A62" s="147" t="s">
        <v>247</v>
      </c>
      <c r="B62" s="147"/>
      <c r="C62" s="147"/>
      <c r="D62" s="147"/>
      <c r="E62" s="147"/>
    </row>
    <row r="63" spans="1:5" x14ac:dyDescent="0.2">
      <c r="A63" s="27" t="s">
        <v>1227</v>
      </c>
      <c r="B63" s="59" t="s">
        <v>248</v>
      </c>
      <c r="C63" s="28" t="s">
        <v>179</v>
      </c>
      <c r="D63" s="26">
        <f>230+230</f>
        <v>460</v>
      </c>
      <c r="E63" s="24" t="s">
        <v>1298</v>
      </c>
    </row>
    <row r="64" spans="1:5" x14ac:dyDescent="0.2">
      <c r="A64" s="27" t="s">
        <v>1228</v>
      </c>
      <c r="B64" s="59" t="s">
        <v>249</v>
      </c>
      <c r="C64" s="28" t="s">
        <v>179</v>
      </c>
      <c r="D64" s="26">
        <f>230+140</f>
        <v>370</v>
      </c>
      <c r="E64" s="24" t="s">
        <v>1298</v>
      </c>
    </row>
    <row r="65" spans="1:5" ht="26" x14ac:dyDescent="0.2">
      <c r="A65" s="27" t="s">
        <v>1229</v>
      </c>
      <c r="B65" s="59" t="s">
        <v>1092</v>
      </c>
      <c r="C65" s="28" t="s">
        <v>179</v>
      </c>
      <c r="D65" s="26">
        <f>460+370</f>
        <v>830</v>
      </c>
      <c r="E65" s="24" t="s">
        <v>1298</v>
      </c>
    </row>
    <row r="66" spans="1:5" x14ac:dyDescent="0.2">
      <c r="A66" s="27" t="s">
        <v>1230</v>
      </c>
      <c r="B66" s="59" t="s">
        <v>154</v>
      </c>
      <c r="C66" s="28" t="s">
        <v>179</v>
      </c>
      <c r="D66" s="26">
        <f>500+200</f>
        <v>700</v>
      </c>
      <c r="E66" s="24" t="s">
        <v>1298</v>
      </c>
    </row>
    <row r="67" spans="1:5" x14ac:dyDescent="0.2">
      <c r="A67" s="27" t="s">
        <v>1231</v>
      </c>
      <c r="B67" s="59" t="s">
        <v>250</v>
      </c>
      <c r="C67" s="28" t="s">
        <v>179</v>
      </c>
      <c r="D67" s="26">
        <f>100+50</f>
        <v>150</v>
      </c>
      <c r="E67" s="24" t="s">
        <v>1298</v>
      </c>
    </row>
    <row r="68" spans="1:5" x14ac:dyDescent="0.2">
      <c r="A68" s="27" t="s">
        <v>1232</v>
      </c>
      <c r="B68" s="59" t="s">
        <v>251</v>
      </c>
      <c r="C68" s="28" t="s">
        <v>179</v>
      </c>
      <c r="D68" s="26">
        <f>95+55</f>
        <v>150</v>
      </c>
      <c r="E68" s="24" t="s">
        <v>1298</v>
      </c>
    </row>
    <row r="69" spans="1:5" x14ac:dyDescent="0.2">
      <c r="A69" s="27" t="s">
        <v>1233</v>
      </c>
      <c r="B69" s="59" t="s">
        <v>252</v>
      </c>
      <c r="C69" s="28" t="s">
        <v>179</v>
      </c>
      <c r="D69" s="26">
        <f>125+60</f>
        <v>185</v>
      </c>
      <c r="E69" s="24" t="s">
        <v>1298</v>
      </c>
    </row>
    <row r="70" spans="1:5" x14ac:dyDescent="0.2">
      <c r="A70" s="27" t="s">
        <v>1234</v>
      </c>
      <c r="B70" s="59" t="s">
        <v>253</v>
      </c>
      <c r="C70" s="28" t="s">
        <v>179</v>
      </c>
      <c r="D70" s="26">
        <f>125+95</f>
        <v>220</v>
      </c>
      <c r="E70" s="24" t="s">
        <v>1298</v>
      </c>
    </row>
    <row r="71" spans="1:5" ht="26" x14ac:dyDescent="0.2">
      <c r="A71" s="27" t="s">
        <v>1235</v>
      </c>
      <c r="B71" s="59" t="s">
        <v>1237</v>
      </c>
      <c r="C71" s="28" t="s">
        <v>179</v>
      </c>
      <c r="D71" s="26">
        <f>345+355</f>
        <v>700</v>
      </c>
      <c r="E71" s="24" t="s">
        <v>1298</v>
      </c>
    </row>
    <row r="72" spans="1:5" s="3" customFormat="1" ht="26" x14ac:dyDescent="0.2">
      <c r="A72" s="27" t="s">
        <v>1236</v>
      </c>
      <c r="B72" s="59" t="s">
        <v>1093</v>
      </c>
      <c r="C72" s="28" t="s">
        <v>179</v>
      </c>
      <c r="D72" s="26">
        <f>220+130</f>
        <v>350</v>
      </c>
      <c r="E72" s="24" t="s">
        <v>1298</v>
      </c>
    </row>
    <row r="73" spans="1:5" ht="15" customHeight="1" x14ac:dyDescent="0.2">
      <c r="A73" s="147" t="s">
        <v>1659</v>
      </c>
      <c r="B73" s="147"/>
      <c r="C73" s="147"/>
      <c r="D73" s="147"/>
      <c r="E73" s="147"/>
    </row>
    <row r="74" spans="1:5" ht="15" customHeight="1" x14ac:dyDescent="0.2">
      <c r="A74" s="27" t="s">
        <v>1238</v>
      </c>
      <c r="B74" s="59" t="s">
        <v>254</v>
      </c>
      <c r="C74" s="28" t="s">
        <v>179</v>
      </c>
      <c r="D74" s="26">
        <f>110+70</f>
        <v>180</v>
      </c>
      <c r="E74" s="24" t="s">
        <v>1298</v>
      </c>
    </row>
    <row r="75" spans="1:5" ht="15" customHeight="1" x14ac:dyDescent="0.2">
      <c r="A75" s="27" t="s">
        <v>1648</v>
      </c>
      <c r="B75" s="59" t="s">
        <v>255</v>
      </c>
      <c r="C75" s="28" t="s">
        <v>179</v>
      </c>
      <c r="D75" s="26">
        <f>140+140</f>
        <v>280</v>
      </c>
      <c r="E75" s="24" t="s">
        <v>1298</v>
      </c>
    </row>
    <row r="76" spans="1:5" ht="15" customHeight="1" x14ac:dyDescent="0.2">
      <c r="A76" s="27" t="s">
        <v>1239</v>
      </c>
      <c r="B76" s="59" t="s">
        <v>256</v>
      </c>
      <c r="C76" s="28" t="s">
        <v>179</v>
      </c>
      <c r="D76" s="26">
        <f>110+70</f>
        <v>180</v>
      </c>
      <c r="E76" s="24" t="s">
        <v>1298</v>
      </c>
    </row>
    <row r="77" spans="1:5" ht="15" customHeight="1" x14ac:dyDescent="0.2">
      <c r="A77" s="27" t="s">
        <v>1033</v>
      </c>
      <c r="B77" s="59" t="s">
        <v>257</v>
      </c>
      <c r="C77" s="28" t="s">
        <v>179</v>
      </c>
      <c r="D77" s="26">
        <f>280+70</f>
        <v>350</v>
      </c>
      <c r="E77" s="24" t="s">
        <v>1298</v>
      </c>
    </row>
    <row r="78" spans="1:5" ht="15" customHeight="1" x14ac:dyDescent="0.2">
      <c r="A78" s="27" t="s">
        <v>1240</v>
      </c>
      <c r="B78" s="59" t="s">
        <v>258</v>
      </c>
      <c r="C78" s="28" t="s">
        <v>179</v>
      </c>
      <c r="D78" s="26">
        <f>130+50</f>
        <v>180</v>
      </c>
      <c r="E78" s="24" t="s">
        <v>1298</v>
      </c>
    </row>
    <row r="79" spans="1:5" ht="15" customHeight="1" x14ac:dyDescent="0.2">
      <c r="A79" s="27" t="s">
        <v>1241</v>
      </c>
      <c r="B79" s="59" t="s">
        <v>151</v>
      </c>
      <c r="C79" s="28" t="s">
        <v>179</v>
      </c>
      <c r="D79" s="26">
        <f>150+100</f>
        <v>250</v>
      </c>
      <c r="E79" s="24" t="s">
        <v>1298</v>
      </c>
    </row>
    <row r="80" spans="1:5" ht="15" customHeight="1" x14ac:dyDescent="0.2">
      <c r="A80" s="27" t="s">
        <v>1242</v>
      </c>
      <c r="B80" s="59" t="s">
        <v>259</v>
      </c>
      <c r="C80" s="28" t="s">
        <v>179</v>
      </c>
      <c r="D80" s="26">
        <f>110+70</f>
        <v>180</v>
      </c>
      <c r="E80" s="24" t="s">
        <v>1298</v>
      </c>
    </row>
    <row r="81" spans="1:5" ht="15" customHeight="1" x14ac:dyDescent="0.2">
      <c r="A81" s="27" t="s">
        <v>1243</v>
      </c>
      <c r="B81" s="59" t="s">
        <v>152</v>
      </c>
      <c r="C81" s="28" t="s">
        <v>179</v>
      </c>
      <c r="D81" s="26">
        <f>130+120</f>
        <v>250</v>
      </c>
      <c r="E81" s="24" t="s">
        <v>1298</v>
      </c>
    </row>
    <row r="82" spans="1:5" ht="15" customHeight="1" x14ac:dyDescent="0.2">
      <c r="A82" s="147" t="s">
        <v>260</v>
      </c>
      <c r="B82" s="147"/>
      <c r="C82" s="147"/>
      <c r="D82" s="147"/>
      <c r="E82" s="147"/>
    </row>
    <row r="83" spans="1:5" ht="15" customHeight="1" x14ac:dyDescent="0.2">
      <c r="A83" s="27" t="s">
        <v>261</v>
      </c>
      <c r="B83" s="59" t="s">
        <v>262</v>
      </c>
      <c r="C83" s="25" t="s">
        <v>179</v>
      </c>
      <c r="D83" s="26">
        <f>420+200</f>
        <v>620</v>
      </c>
      <c r="E83" s="24" t="s">
        <v>1298</v>
      </c>
    </row>
    <row r="84" spans="1:5" ht="15" customHeight="1" x14ac:dyDescent="0.2">
      <c r="A84" s="27" t="s">
        <v>263</v>
      </c>
      <c r="B84" s="59" t="s">
        <v>264</v>
      </c>
      <c r="C84" s="25" t="s">
        <v>179</v>
      </c>
      <c r="D84" s="26">
        <f>530+200</f>
        <v>730</v>
      </c>
      <c r="E84" s="24" t="s">
        <v>1298</v>
      </c>
    </row>
    <row r="85" spans="1:5" ht="15" customHeight="1" x14ac:dyDescent="0.2">
      <c r="A85" s="27" t="s">
        <v>265</v>
      </c>
      <c r="B85" s="59" t="s">
        <v>266</v>
      </c>
      <c r="C85" s="25" t="s">
        <v>179</v>
      </c>
      <c r="D85" s="26">
        <f>1300+200</f>
        <v>1500</v>
      </c>
      <c r="E85" s="24" t="s">
        <v>1298</v>
      </c>
    </row>
    <row r="86" spans="1:5" ht="15" customHeight="1" x14ac:dyDescent="0.2">
      <c r="A86" s="147" t="s">
        <v>267</v>
      </c>
      <c r="B86" s="147"/>
      <c r="C86" s="147"/>
      <c r="D86" s="147"/>
      <c r="E86" s="147"/>
    </row>
    <row r="87" spans="1:5" x14ac:dyDescent="0.2">
      <c r="A87" s="27" t="s">
        <v>1244</v>
      </c>
      <c r="B87" s="59" t="s">
        <v>268</v>
      </c>
      <c r="C87" s="28" t="s">
        <v>179</v>
      </c>
      <c r="D87" s="26">
        <f>260+60</f>
        <v>320</v>
      </c>
      <c r="E87" s="24" t="s">
        <v>1298</v>
      </c>
    </row>
    <row r="88" spans="1:5" x14ac:dyDescent="0.2">
      <c r="A88" s="27" t="s">
        <v>1699</v>
      </c>
      <c r="B88" s="59" t="s">
        <v>269</v>
      </c>
      <c r="C88" s="28" t="s">
        <v>179</v>
      </c>
      <c r="D88" s="83">
        <f>1100+190</f>
        <v>1290</v>
      </c>
      <c r="E88" s="25" t="s">
        <v>1700</v>
      </c>
    </row>
    <row r="89" spans="1:5" x14ac:dyDescent="0.2">
      <c r="A89" s="27" t="s">
        <v>1245</v>
      </c>
      <c r="B89" s="59" t="s">
        <v>270</v>
      </c>
      <c r="C89" s="28" t="s">
        <v>179</v>
      </c>
      <c r="D89" s="26">
        <f>330+240</f>
        <v>570</v>
      </c>
      <c r="E89" s="24" t="s">
        <v>1298</v>
      </c>
    </row>
    <row r="90" spans="1:5" x14ac:dyDescent="0.2">
      <c r="A90" s="27" t="s">
        <v>1246</v>
      </c>
      <c r="B90" s="59" t="s">
        <v>1061</v>
      </c>
      <c r="C90" s="28" t="s">
        <v>179</v>
      </c>
      <c r="D90" s="26">
        <f>850+100</f>
        <v>950</v>
      </c>
      <c r="E90" s="24" t="s">
        <v>1298</v>
      </c>
    </row>
    <row r="91" spans="1:5" x14ac:dyDescent="0.2">
      <c r="A91" s="27" t="s">
        <v>1247</v>
      </c>
      <c r="B91" s="59" t="s">
        <v>271</v>
      </c>
      <c r="C91" s="28" t="s">
        <v>179</v>
      </c>
      <c r="D91" s="26">
        <f>160+60</f>
        <v>220</v>
      </c>
      <c r="E91" s="24" t="s">
        <v>1298</v>
      </c>
    </row>
    <row r="92" spans="1:5" x14ac:dyDescent="0.2">
      <c r="A92" s="27" t="s">
        <v>272</v>
      </c>
      <c r="B92" s="59" t="s">
        <v>273</v>
      </c>
      <c r="C92" s="28" t="s">
        <v>179</v>
      </c>
      <c r="D92" s="26">
        <f>400+100</f>
        <v>500</v>
      </c>
      <c r="E92" s="24" t="s">
        <v>1298</v>
      </c>
    </row>
    <row r="93" spans="1:5" s="5" customFormat="1" x14ac:dyDescent="0.2">
      <c r="A93" s="67" t="s">
        <v>1750</v>
      </c>
      <c r="B93" s="68" t="s">
        <v>1749</v>
      </c>
      <c r="C93" s="67" t="s">
        <v>179</v>
      </c>
      <c r="D93" s="69">
        <f>270+100</f>
        <v>370</v>
      </c>
      <c r="E93" s="70" t="s">
        <v>1258</v>
      </c>
    </row>
    <row r="94" spans="1:5" x14ac:dyDescent="0.2">
      <c r="A94" s="27" t="s">
        <v>852</v>
      </c>
      <c r="B94" s="59" t="s">
        <v>850</v>
      </c>
      <c r="C94" s="28" t="s">
        <v>179</v>
      </c>
      <c r="D94" s="26">
        <f>1500+100</f>
        <v>1600</v>
      </c>
      <c r="E94" s="24" t="s">
        <v>1298</v>
      </c>
    </row>
    <row r="95" spans="1:5" x14ac:dyDescent="0.2">
      <c r="A95" s="27" t="s">
        <v>1248</v>
      </c>
      <c r="B95" s="59" t="s">
        <v>274</v>
      </c>
      <c r="C95" s="28" t="s">
        <v>179</v>
      </c>
      <c r="D95" s="26">
        <f>150+120</f>
        <v>270</v>
      </c>
      <c r="E95" s="24" t="s">
        <v>1298</v>
      </c>
    </row>
    <row r="96" spans="1:5" x14ac:dyDescent="0.2">
      <c r="A96" s="27" t="s">
        <v>1249</v>
      </c>
      <c r="B96" s="59" t="s">
        <v>286</v>
      </c>
      <c r="C96" s="28" t="s">
        <v>179</v>
      </c>
      <c r="D96" s="26">
        <f>150+100</f>
        <v>250</v>
      </c>
      <c r="E96" s="24" t="s">
        <v>1298</v>
      </c>
    </row>
    <row r="97" spans="1:5" s="5" customFormat="1" ht="26" x14ac:dyDescent="0.2">
      <c r="A97" s="28" t="s">
        <v>1667</v>
      </c>
      <c r="B97" s="59" t="s">
        <v>1668</v>
      </c>
      <c r="C97" s="28" t="s">
        <v>179</v>
      </c>
      <c r="D97" s="30">
        <f>300+200</f>
        <v>500</v>
      </c>
      <c r="E97" s="25" t="s">
        <v>1258</v>
      </c>
    </row>
    <row r="98" spans="1:5" x14ac:dyDescent="0.2">
      <c r="A98" s="27" t="s">
        <v>1250</v>
      </c>
      <c r="B98" s="59" t="s">
        <v>287</v>
      </c>
      <c r="C98" s="28" t="s">
        <v>179</v>
      </c>
      <c r="D98" s="26">
        <f>230+320</f>
        <v>550</v>
      </c>
      <c r="E98" s="24" t="s">
        <v>1298</v>
      </c>
    </row>
    <row r="99" spans="1:5" s="2" customFormat="1" ht="26" x14ac:dyDescent="0.2">
      <c r="A99" s="27" t="s">
        <v>1386</v>
      </c>
      <c r="B99" s="87" t="s">
        <v>1800</v>
      </c>
      <c r="C99" s="28" t="s">
        <v>179</v>
      </c>
      <c r="D99" s="30">
        <f>340+460</f>
        <v>800</v>
      </c>
      <c r="E99" s="24" t="s">
        <v>1298</v>
      </c>
    </row>
    <row r="100" spans="1:5" x14ac:dyDescent="0.2">
      <c r="A100" s="27" t="s">
        <v>288</v>
      </c>
      <c r="B100" s="59" t="s">
        <v>1409</v>
      </c>
      <c r="C100" s="28" t="s">
        <v>179</v>
      </c>
      <c r="D100" s="26">
        <f>520+100</f>
        <v>620</v>
      </c>
      <c r="E100" s="24" t="s">
        <v>1298</v>
      </c>
    </row>
    <row r="101" spans="1:5" x14ac:dyDescent="0.2">
      <c r="A101" s="27" t="s">
        <v>1251</v>
      </c>
      <c r="B101" s="59" t="s">
        <v>289</v>
      </c>
      <c r="C101" s="28" t="s">
        <v>179</v>
      </c>
      <c r="D101" s="26">
        <f>270+130</f>
        <v>400</v>
      </c>
      <c r="E101" s="24" t="s">
        <v>1298</v>
      </c>
    </row>
    <row r="102" spans="1:5" x14ac:dyDescent="0.2">
      <c r="A102" s="27" t="s">
        <v>1252</v>
      </c>
      <c r="B102" s="59" t="s">
        <v>290</v>
      </c>
      <c r="C102" s="28" t="s">
        <v>179</v>
      </c>
      <c r="D102" s="26">
        <f>400+140</f>
        <v>540</v>
      </c>
      <c r="E102" s="24" t="s">
        <v>1298</v>
      </c>
    </row>
    <row r="103" spans="1:5" x14ac:dyDescent="0.2">
      <c r="A103" s="28" t="s">
        <v>1701</v>
      </c>
      <c r="B103" s="59" t="s">
        <v>153</v>
      </c>
      <c r="C103" s="28" t="s">
        <v>179</v>
      </c>
      <c r="D103" s="26">
        <f>580+100</f>
        <v>680</v>
      </c>
      <c r="E103" s="25" t="s">
        <v>1702</v>
      </c>
    </row>
    <row r="104" spans="1:5" x14ac:dyDescent="0.2">
      <c r="A104" s="27" t="s">
        <v>1128</v>
      </c>
      <c r="B104" s="59" t="s">
        <v>435</v>
      </c>
      <c r="C104" s="28" t="s">
        <v>179</v>
      </c>
      <c r="D104" s="26">
        <f>630+100</f>
        <v>730</v>
      </c>
      <c r="E104" s="24" t="s">
        <v>1298</v>
      </c>
    </row>
    <row r="105" spans="1:5" ht="15" customHeight="1" x14ac:dyDescent="0.2">
      <c r="A105" s="147" t="s">
        <v>816</v>
      </c>
      <c r="B105" s="147"/>
      <c r="C105" s="147"/>
      <c r="D105" s="147"/>
      <c r="E105" s="147"/>
    </row>
    <row r="106" spans="1:5" s="2" customFormat="1" x14ac:dyDescent="0.2">
      <c r="A106" s="27" t="s">
        <v>1058</v>
      </c>
      <c r="B106" s="59" t="s">
        <v>819</v>
      </c>
      <c r="C106" s="28" t="s">
        <v>179</v>
      </c>
      <c r="D106" s="26">
        <f>580+220</f>
        <v>800</v>
      </c>
      <c r="E106" s="24" t="s">
        <v>1298</v>
      </c>
    </row>
    <row r="107" spans="1:5" s="2" customFormat="1" ht="26" x14ac:dyDescent="0.2">
      <c r="A107" s="27" t="s">
        <v>828</v>
      </c>
      <c r="B107" s="59" t="s">
        <v>820</v>
      </c>
      <c r="C107" s="28" t="s">
        <v>179</v>
      </c>
      <c r="D107" s="26">
        <f>2050+650</f>
        <v>2700</v>
      </c>
      <c r="E107" s="27" t="s">
        <v>1301</v>
      </c>
    </row>
    <row r="108" spans="1:5" s="2" customFormat="1" x14ac:dyDescent="0.2">
      <c r="A108" s="27" t="s">
        <v>829</v>
      </c>
      <c r="B108" s="59" t="s">
        <v>823</v>
      </c>
      <c r="C108" s="28" t="s">
        <v>179</v>
      </c>
      <c r="D108" s="26">
        <f>2800+700</f>
        <v>3500</v>
      </c>
      <c r="E108" s="27" t="s">
        <v>1302</v>
      </c>
    </row>
    <row r="109" spans="1:5" s="2" customFormat="1" x14ac:dyDescent="0.2">
      <c r="A109" s="27" t="s">
        <v>830</v>
      </c>
      <c r="B109" s="59" t="s">
        <v>824</v>
      </c>
      <c r="C109" s="28" t="s">
        <v>179</v>
      </c>
      <c r="D109" s="26">
        <f>2800+700</f>
        <v>3500</v>
      </c>
      <c r="E109" s="27" t="s">
        <v>1302</v>
      </c>
    </row>
    <row r="110" spans="1:5" s="2" customFormat="1" x14ac:dyDescent="0.2">
      <c r="A110" s="27" t="s">
        <v>831</v>
      </c>
      <c r="B110" s="59" t="s">
        <v>1384</v>
      </c>
      <c r="C110" s="28" t="s">
        <v>179</v>
      </c>
      <c r="D110" s="26">
        <f>800+200</f>
        <v>1000</v>
      </c>
      <c r="E110" s="27" t="s">
        <v>1302</v>
      </c>
    </row>
    <row r="111" spans="1:5" s="2" customFormat="1" x14ac:dyDescent="0.2">
      <c r="A111" s="27" t="s">
        <v>832</v>
      </c>
      <c r="B111" s="59" t="s">
        <v>822</v>
      </c>
      <c r="C111" s="28" t="s">
        <v>179</v>
      </c>
      <c r="D111" s="26">
        <f>1350+130</f>
        <v>1480</v>
      </c>
      <c r="E111" s="27" t="s">
        <v>1303</v>
      </c>
    </row>
    <row r="112" spans="1:5" s="2" customFormat="1" x14ac:dyDescent="0.2">
      <c r="A112" s="27" t="s">
        <v>826</v>
      </c>
      <c r="B112" s="59" t="s">
        <v>817</v>
      </c>
      <c r="C112" s="28" t="s">
        <v>179</v>
      </c>
      <c r="D112" s="26">
        <f>2000+570</f>
        <v>2570</v>
      </c>
      <c r="E112" s="27" t="s">
        <v>1301</v>
      </c>
    </row>
    <row r="113" spans="1:5" s="2" customFormat="1" x14ac:dyDescent="0.2">
      <c r="A113" s="27" t="s">
        <v>827</v>
      </c>
      <c r="B113" s="59" t="s">
        <v>818</v>
      </c>
      <c r="C113" s="28" t="s">
        <v>179</v>
      </c>
      <c r="D113" s="26">
        <f>1200+100</f>
        <v>1300</v>
      </c>
      <c r="E113" s="27" t="s">
        <v>1304</v>
      </c>
    </row>
    <row r="114" spans="1:5" s="2" customFormat="1" x14ac:dyDescent="0.2">
      <c r="A114" s="27" t="s">
        <v>833</v>
      </c>
      <c r="B114" s="59" t="s">
        <v>821</v>
      </c>
      <c r="C114" s="28" t="s">
        <v>179</v>
      </c>
      <c r="D114" s="26">
        <f>980+100</f>
        <v>1080</v>
      </c>
      <c r="E114" s="27" t="s">
        <v>1305</v>
      </c>
    </row>
    <row r="115" spans="1:5" s="18" customFormat="1" ht="15" customHeight="1" x14ac:dyDescent="0.2">
      <c r="A115" s="113" t="s">
        <v>1094</v>
      </c>
      <c r="B115" s="113"/>
      <c r="C115" s="113"/>
      <c r="D115" s="113"/>
      <c r="E115" s="113"/>
    </row>
    <row r="116" spans="1:5" s="18" customFormat="1" ht="30" customHeight="1" x14ac:dyDescent="0.2">
      <c r="A116" s="27" t="s">
        <v>1095</v>
      </c>
      <c r="B116" s="59" t="s">
        <v>1096</v>
      </c>
      <c r="C116" s="28" t="s">
        <v>179</v>
      </c>
      <c r="D116" s="26">
        <f>1900+600</f>
        <v>2500</v>
      </c>
      <c r="E116" s="86" t="s">
        <v>1798</v>
      </c>
    </row>
    <row r="117" spans="1:5" ht="14" customHeight="1" x14ac:dyDescent="0.2">
      <c r="A117" s="147" t="s">
        <v>291</v>
      </c>
      <c r="B117" s="147"/>
      <c r="C117" s="147"/>
      <c r="D117" s="147"/>
      <c r="E117" s="147"/>
    </row>
    <row r="118" spans="1:5" ht="26.25" customHeight="1" x14ac:dyDescent="0.2">
      <c r="A118" s="27" t="s">
        <v>292</v>
      </c>
      <c r="B118" s="59" t="s">
        <v>1669</v>
      </c>
      <c r="C118" s="25" t="s">
        <v>179</v>
      </c>
      <c r="D118" s="26">
        <f>1050+550</f>
        <v>1600</v>
      </c>
      <c r="E118" s="24" t="s">
        <v>1298</v>
      </c>
    </row>
    <row r="119" spans="1:5" ht="15.5" customHeight="1" x14ac:dyDescent="0.2">
      <c r="A119" s="147" t="s">
        <v>293</v>
      </c>
      <c r="B119" s="147"/>
      <c r="C119" s="147"/>
      <c r="D119" s="147"/>
      <c r="E119" s="147"/>
    </row>
    <row r="120" spans="1:5" ht="15.5" customHeight="1" x14ac:dyDescent="0.2">
      <c r="A120" s="27" t="s">
        <v>294</v>
      </c>
      <c r="B120" s="59" t="s">
        <v>295</v>
      </c>
      <c r="C120" s="28" t="s">
        <v>179</v>
      </c>
      <c r="D120" s="26">
        <f>720+170</f>
        <v>890</v>
      </c>
      <c r="E120" s="24" t="s">
        <v>1298</v>
      </c>
    </row>
    <row r="121" spans="1:5" x14ac:dyDescent="0.2">
      <c r="A121" s="27" t="s">
        <v>296</v>
      </c>
      <c r="B121" s="59" t="s">
        <v>297</v>
      </c>
      <c r="C121" s="28" t="s">
        <v>179</v>
      </c>
      <c r="D121" s="26">
        <f>290+60</f>
        <v>350</v>
      </c>
      <c r="E121" s="24" t="s">
        <v>1298</v>
      </c>
    </row>
    <row r="122" spans="1:5" s="11" customFormat="1" ht="13" x14ac:dyDescent="0.2">
      <c r="A122" s="27" t="s">
        <v>1126</v>
      </c>
      <c r="B122" s="59" t="s">
        <v>135</v>
      </c>
      <c r="C122" s="28" t="s">
        <v>179</v>
      </c>
      <c r="D122" s="28">
        <f>730+70</f>
        <v>800</v>
      </c>
      <c r="E122" s="24" t="s">
        <v>1298</v>
      </c>
    </row>
    <row r="123" spans="1:5" s="5" customFormat="1" ht="18" customHeight="1" x14ac:dyDescent="0.2">
      <c r="A123" s="27" t="s">
        <v>476</v>
      </c>
      <c r="B123" s="59" t="s">
        <v>851</v>
      </c>
      <c r="C123" s="28" t="s">
        <v>179</v>
      </c>
      <c r="D123" s="26">
        <f>2150+450</f>
        <v>2600</v>
      </c>
      <c r="E123" s="27" t="s">
        <v>1338</v>
      </c>
    </row>
    <row r="124" spans="1:5" s="5" customFormat="1" x14ac:dyDescent="0.2">
      <c r="A124" s="27" t="s">
        <v>298</v>
      </c>
      <c r="B124" s="59" t="s">
        <v>299</v>
      </c>
      <c r="C124" s="28" t="s">
        <v>179</v>
      </c>
      <c r="D124" s="26">
        <f>290+110</f>
        <v>400</v>
      </c>
      <c r="E124" s="24" t="s">
        <v>1298</v>
      </c>
    </row>
    <row r="125" spans="1:5" s="5" customFormat="1" x14ac:dyDescent="0.2">
      <c r="A125" s="27" t="s">
        <v>300</v>
      </c>
      <c r="B125" s="59" t="s">
        <v>301</v>
      </c>
      <c r="C125" s="28" t="s">
        <v>179</v>
      </c>
      <c r="D125" s="26">
        <f>290+110</f>
        <v>400</v>
      </c>
      <c r="E125" s="24" t="s">
        <v>1298</v>
      </c>
    </row>
    <row r="126" spans="1:5" s="5" customFormat="1" ht="26" x14ac:dyDescent="0.2">
      <c r="A126" s="28" t="s">
        <v>1670</v>
      </c>
      <c r="B126" s="59" t="s">
        <v>1726</v>
      </c>
      <c r="C126" s="28" t="s">
        <v>179</v>
      </c>
      <c r="D126" s="57">
        <f>7000+1100</f>
        <v>8100</v>
      </c>
      <c r="E126" s="28" t="s">
        <v>1671</v>
      </c>
    </row>
    <row r="127" spans="1:5" s="5" customFormat="1" x14ac:dyDescent="0.2">
      <c r="A127" s="27" t="s">
        <v>302</v>
      </c>
      <c r="B127" s="59" t="s">
        <v>303</v>
      </c>
      <c r="C127" s="28" t="s">
        <v>179</v>
      </c>
      <c r="D127" s="26">
        <f>310+180</f>
        <v>490</v>
      </c>
      <c r="E127" s="24" t="s">
        <v>1298</v>
      </c>
    </row>
    <row r="128" spans="1:5" s="5" customFormat="1" x14ac:dyDescent="0.2">
      <c r="A128" s="27" t="s">
        <v>304</v>
      </c>
      <c r="B128" s="59" t="s">
        <v>305</v>
      </c>
      <c r="C128" s="28" t="s">
        <v>179</v>
      </c>
      <c r="D128" s="26">
        <f>350+200</f>
        <v>550</v>
      </c>
      <c r="E128" s="24" t="s">
        <v>1298</v>
      </c>
    </row>
    <row r="129" spans="1:5" s="5" customFormat="1" x14ac:dyDescent="0.2">
      <c r="A129" s="27" t="s">
        <v>306</v>
      </c>
      <c r="B129" s="59" t="s">
        <v>307</v>
      </c>
      <c r="C129" s="28" t="s">
        <v>179</v>
      </c>
      <c r="D129" s="26">
        <f>600+200</f>
        <v>800</v>
      </c>
      <c r="E129" s="24" t="s">
        <v>1298</v>
      </c>
    </row>
    <row r="130" spans="1:5" s="5" customFormat="1" x14ac:dyDescent="0.2">
      <c r="A130" s="27" t="s">
        <v>308</v>
      </c>
      <c r="B130" s="59" t="s">
        <v>309</v>
      </c>
      <c r="C130" s="28" t="s">
        <v>179</v>
      </c>
      <c r="D130" s="26">
        <f>410+190</f>
        <v>600</v>
      </c>
      <c r="E130" s="24" t="s">
        <v>1298</v>
      </c>
    </row>
    <row r="131" spans="1:5" s="5" customFormat="1" x14ac:dyDescent="0.2">
      <c r="A131" s="27" t="s">
        <v>146</v>
      </c>
      <c r="B131" s="59" t="s">
        <v>310</v>
      </c>
      <c r="C131" s="28" t="s">
        <v>179</v>
      </c>
      <c r="D131" s="26">
        <f>410+190</f>
        <v>600</v>
      </c>
      <c r="E131" s="24" t="s">
        <v>1298</v>
      </c>
    </row>
    <row r="132" spans="1:5" s="5" customFormat="1" x14ac:dyDescent="0.2">
      <c r="A132" s="27" t="s">
        <v>147</v>
      </c>
      <c r="B132" s="59" t="s">
        <v>312</v>
      </c>
      <c r="C132" s="28" t="s">
        <v>179</v>
      </c>
      <c r="D132" s="26">
        <f>780+120</f>
        <v>900</v>
      </c>
      <c r="E132" s="27" t="s">
        <v>873</v>
      </c>
    </row>
    <row r="133" spans="1:5" x14ac:dyDescent="0.2">
      <c r="A133" s="27" t="s">
        <v>1693</v>
      </c>
      <c r="B133" s="59" t="s">
        <v>313</v>
      </c>
      <c r="C133" s="28" t="s">
        <v>179</v>
      </c>
      <c r="D133" s="26">
        <f>780+120</f>
        <v>900</v>
      </c>
      <c r="E133" s="24" t="s">
        <v>1298</v>
      </c>
    </row>
    <row r="134" spans="1:5" x14ac:dyDescent="0.2">
      <c r="A134" s="27" t="s">
        <v>279</v>
      </c>
      <c r="B134" s="59" t="s">
        <v>133</v>
      </c>
      <c r="C134" s="28" t="s">
        <v>179</v>
      </c>
      <c r="D134" s="26">
        <f>900+100</f>
        <v>1000</v>
      </c>
      <c r="E134" s="27" t="s">
        <v>873</v>
      </c>
    </row>
    <row r="135" spans="1:5" x14ac:dyDescent="0.2">
      <c r="A135" s="27" t="s">
        <v>598</v>
      </c>
      <c r="B135" s="59" t="s">
        <v>134</v>
      </c>
      <c r="C135" s="28" t="s">
        <v>179</v>
      </c>
      <c r="D135" s="26">
        <f>2100+600</f>
        <v>2700</v>
      </c>
      <c r="E135" s="24" t="s">
        <v>1298</v>
      </c>
    </row>
    <row r="136" spans="1:5" ht="24" x14ac:dyDescent="0.2">
      <c r="A136" s="27" t="s">
        <v>1049</v>
      </c>
      <c r="B136" s="59" t="s">
        <v>357</v>
      </c>
      <c r="C136" s="28" t="s">
        <v>179</v>
      </c>
      <c r="D136" s="26">
        <f>1900+200</f>
        <v>2100</v>
      </c>
      <c r="E136" s="27" t="s">
        <v>1036</v>
      </c>
    </row>
    <row r="137" spans="1:5" ht="16.5" customHeight="1" x14ac:dyDescent="0.2">
      <c r="A137" s="27" t="s">
        <v>772</v>
      </c>
      <c r="B137" s="59" t="s">
        <v>430</v>
      </c>
      <c r="C137" s="28" t="s">
        <v>179</v>
      </c>
      <c r="D137" s="26">
        <f>1400+300</f>
        <v>1700</v>
      </c>
      <c r="E137" s="27" t="s">
        <v>1306</v>
      </c>
    </row>
    <row r="138" spans="1:5" ht="26" x14ac:dyDescent="0.2">
      <c r="A138" s="27" t="s">
        <v>1692</v>
      </c>
      <c r="B138" s="59" t="s">
        <v>1097</v>
      </c>
      <c r="C138" s="28" t="s">
        <v>179</v>
      </c>
      <c r="D138" s="29">
        <f>1110+440</f>
        <v>1550</v>
      </c>
      <c r="E138" s="24" t="s">
        <v>1298</v>
      </c>
    </row>
    <row r="139" spans="1:5" s="16" customFormat="1" ht="17" customHeight="1" x14ac:dyDescent="0.2">
      <c r="A139" s="148" t="s">
        <v>314</v>
      </c>
      <c r="B139" s="148"/>
      <c r="C139" s="148"/>
      <c r="D139" s="148"/>
      <c r="E139" s="148"/>
    </row>
    <row r="140" spans="1:5" ht="17.5" customHeight="1" x14ac:dyDescent="0.2">
      <c r="A140" s="149" t="s">
        <v>315</v>
      </c>
      <c r="B140" s="149"/>
      <c r="C140" s="149"/>
      <c r="D140" s="149"/>
      <c r="E140" s="149"/>
    </row>
    <row r="141" spans="1:5" ht="15.5" customHeight="1" x14ac:dyDescent="0.2">
      <c r="A141" s="27" t="s">
        <v>1253</v>
      </c>
      <c r="B141" s="59" t="s">
        <v>316</v>
      </c>
      <c r="C141" s="25" t="s">
        <v>179</v>
      </c>
      <c r="D141" s="26">
        <f>150+60</f>
        <v>210</v>
      </c>
      <c r="E141" s="24" t="s">
        <v>1298</v>
      </c>
    </row>
    <row r="142" spans="1:5" x14ac:dyDescent="0.2">
      <c r="A142" s="27" t="s">
        <v>1254</v>
      </c>
      <c r="B142" s="59" t="s">
        <v>317</v>
      </c>
      <c r="C142" s="25" t="s">
        <v>179</v>
      </c>
      <c r="D142" s="26">
        <f>150+60</f>
        <v>210</v>
      </c>
      <c r="E142" s="24" t="s">
        <v>1298</v>
      </c>
    </row>
    <row r="143" spans="1:5" x14ac:dyDescent="0.2">
      <c r="A143" s="27" t="s">
        <v>1255</v>
      </c>
      <c r="B143" s="59" t="s">
        <v>318</v>
      </c>
      <c r="C143" s="25" t="s">
        <v>179</v>
      </c>
      <c r="D143" s="26">
        <f>150+60</f>
        <v>210</v>
      </c>
      <c r="E143" s="24" t="s">
        <v>1298</v>
      </c>
    </row>
    <row r="144" spans="1:5" x14ac:dyDescent="0.2">
      <c r="A144" s="27" t="s">
        <v>1711</v>
      </c>
      <c r="B144" s="59" t="s">
        <v>1129</v>
      </c>
      <c r="C144" s="25" t="s">
        <v>179</v>
      </c>
      <c r="D144" s="26">
        <f>420+50</f>
        <v>470</v>
      </c>
      <c r="E144" s="24" t="s">
        <v>1298</v>
      </c>
    </row>
    <row r="145" spans="1:5" x14ac:dyDescent="0.2">
      <c r="A145" s="27" t="s">
        <v>1712</v>
      </c>
      <c r="B145" s="59" t="s">
        <v>1130</v>
      </c>
      <c r="C145" s="25" t="s">
        <v>179</v>
      </c>
      <c r="D145" s="26">
        <f>420+50</f>
        <v>470</v>
      </c>
      <c r="E145" s="24" t="s">
        <v>1298</v>
      </c>
    </row>
    <row r="146" spans="1:5" ht="24" x14ac:dyDescent="0.2">
      <c r="A146" s="27" t="s">
        <v>319</v>
      </c>
      <c r="B146" s="59" t="s">
        <v>1131</v>
      </c>
      <c r="C146" s="25" t="s">
        <v>179</v>
      </c>
      <c r="D146" s="26">
        <f>1250+200</f>
        <v>1450</v>
      </c>
      <c r="E146" s="32" t="s">
        <v>874</v>
      </c>
    </row>
    <row r="147" spans="1:5" ht="24" x14ac:dyDescent="0.2">
      <c r="A147" s="27" t="s">
        <v>509</v>
      </c>
      <c r="B147" s="59" t="s">
        <v>1132</v>
      </c>
      <c r="C147" s="25" t="s">
        <v>179</v>
      </c>
      <c r="D147" s="26">
        <f>1250+200</f>
        <v>1450</v>
      </c>
      <c r="E147" s="32" t="s">
        <v>874</v>
      </c>
    </row>
    <row r="148" spans="1:5" ht="24" x14ac:dyDescent="0.2">
      <c r="A148" s="27" t="s">
        <v>320</v>
      </c>
      <c r="B148" s="59" t="s">
        <v>1133</v>
      </c>
      <c r="C148" s="25" t="s">
        <v>179</v>
      </c>
      <c r="D148" s="26">
        <f>1000+400</f>
        <v>1400</v>
      </c>
      <c r="E148" s="32" t="s">
        <v>874</v>
      </c>
    </row>
    <row r="149" spans="1:5" ht="24" customHeight="1" x14ac:dyDescent="0.2">
      <c r="A149" s="27" t="s">
        <v>321</v>
      </c>
      <c r="B149" s="59" t="s">
        <v>322</v>
      </c>
      <c r="C149" s="25" t="s">
        <v>179</v>
      </c>
      <c r="D149" s="26">
        <f>440+260</f>
        <v>700</v>
      </c>
      <c r="E149" s="32" t="s">
        <v>874</v>
      </c>
    </row>
    <row r="150" spans="1:5" ht="17.5" customHeight="1" x14ac:dyDescent="0.2">
      <c r="A150" s="166" t="s">
        <v>323</v>
      </c>
      <c r="B150" s="166"/>
      <c r="C150" s="166"/>
      <c r="D150" s="166"/>
      <c r="E150" s="166"/>
    </row>
    <row r="151" spans="1:5" ht="14" customHeight="1" x14ac:dyDescent="0.2">
      <c r="A151" s="122" t="s">
        <v>324</v>
      </c>
      <c r="B151" s="122"/>
      <c r="C151" s="122"/>
      <c r="D151" s="122"/>
      <c r="E151" s="122"/>
    </row>
    <row r="152" spans="1:5" ht="39" customHeight="1" x14ac:dyDescent="0.2">
      <c r="A152" s="27" t="s">
        <v>1649</v>
      </c>
      <c r="B152" s="33" t="s">
        <v>462</v>
      </c>
      <c r="C152" s="28" t="s">
        <v>179</v>
      </c>
      <c r="D152" s="26">
        <f>630+100</f>
        <v>730</v>
      </c>
      <c r="E152" s="32" t="s">
        <v>1344</v>
      </c>
    </row>
    <row r="153" spans="1:5" ht="18" customHeight="1" x14ac:dyDescent="0.2">
      <c r="A153" s="27" t="s">
        <v>773</v>
      </c>
      <c r="B153" s="33" t="s">
        <v>1062</v>
      </c>
      <c r="C153" s="28" t="s">
        <v>179</v>
      </c>
      <c r="D153" s="26">
        <f>1400+300</f>
        <v>1700</v>
      </c>
      <c r="E153" s="27" t="s">
        <v>1307</v>
      </c>
    </row>
    <row r="154" spans="1:5" ht="21" customHeight="1" x14ac:dyDescent="0.2">
      <c r="A154" s="27" t="s">
        <v>325</v>
      </c>
      <c r="B154" s="59" t="s">
        <v>326</v>
      </c>
      <c r="C154" s="28" t="s">
        <v>179</v>
      </c>
      <c r="D154" s="26">
        <f>730+170</f>
        <v>900</v>
      </c>
      <c r="E154" s="27" t="s">
        <v>875</v>
      </c>
    </row>
    <row r="155" spans="1:5" s="2" customFormat="1" ht="29.25" customHeight="1" x14ac:dyDescent="0.2">
      <c r="A155" s="27" t="s">
        <v>834</v>
      </c>
      <c r="B155" s="59" t="s">
        <v>825</v>
      </c>
      <c r="C155" s="28" t="s">
        <v>179</v>
      </c>
      <c r="D155" s="26">
        <v>1050</v>
      </c>
      <c r="E155" s="27" t="s">
        <v>877</v>
      </c>
    </row>
    <row r="156" spans="1:5" ht="15" customHeight="1" x14ac:dyDescent="0.2">
      <c r="A156" s="122" t="s">
        <v>327</v>
      </c>
      <c r="B156" s="122"/>
      <c r="C156" s="122"/>
      <c r="D156" s="122"/>
      <c r="E156" s="122"/>
    </row>
    <row r="157" spans="1:5" x14ac:dyDescent="0.2">
      <c r="A157" s="27" t="s">
        <v>328</v>
      </c>
      <c r="B157" s="59" t="s">
        <v>461</v>
      </c>
      <c r="C157" s="28" t="s">
        <v>179</v>
      </c>
      <c r="D157" s="26">
        <f>450+100</f>
        <v>550</v>
      </c>
      <c r="E157" s="27" t="s">
        <v>1672</v>
      </c>
    </row>
    <row r="158" spans="1:5" ht="26" x14ac:dyDescent="0.2">
      <c r="A158" s="27" t="s">
        <v>329</v>
      </c>
      <c r="B158" s="59" t="s">
        <v>1361</v>
      </c>
      <c r="C158" s="28" t="s">
        <v>330</v>
      </c>
      <c r="D158" s="26">
        <f>550+150</f>
        <v>700</v>
      </c>
      <c r="E158" s="27" t="s">
        <v>1672</v>
      </c>
    </row>
    <row r="159" spans="1:5" s="5" customFormat="1" ht="46.5" customHeight="1" x14ac:dyDescent="0.2">
      <c r="A159" s="27" t="s">
        <v>1425</v>
      </c>
      <c r="B159" s="59" t="s">
        <v>1426</v>
      </c>
      <c r="C159" s="28" t="s">
        <v>1427</v>
      </c>
      <c r="D159" s="30">
        <f>900+200</f>
        <v>1100</v>
      </c>
      <c r="E159" s="27" t="s">
        <v>1428</v>
      </c>
    </row>
    <row r="160" spans="1:5" ht="26" x14ac:dyDescent="0.2">
      <c r="A160" s="27" t="s">
        <v>331</v>
      </c>
      <c r="B160" s="59" t="s">
        <v>1733</v>
      </c>
      <c r="C160" s="28" t="s">
        <v>330</v>
      </c>
      <c r="D160" s="26">
        <f>430+60</f>
        <v>490</v>
      </c>
      <c r="E160" s="27" t="s">
        <v>1672</v>
      </c>
    </row>
    <row r="161" spans="1:5" s="12" customFormat="1" ht="39" x14ac:dyDescent="0.2">
      <c r="A161" s="27" t="s">
        <v>1362</v>
      </c>
      <c r="B161" s="59" t="s">
        <v>1363</v>
      </c>
      <c r="C161" s="28" t="s">
        <v>184</v>
      </c>
      <c r="D161" s="30">
        <f>2100+500</f>
        <v>2600</v>
      </c>
      <c r="E161" s="24" t="s">
        <v>879</v>
      </c>
    </row>
    <row r="162" spans="1:5" x14ac:dyDescent="0.2">
      <c r="A162" s="27" t="s">
        <v>332</v>
      </c>
      <c r="B162" s="59" t="s">
        <v>333</v>
      </c>
      <c r="C162" s="28" t="s">
        <v>179</v>
      </c>
      <c r="D162" s="26">
        <f>950+100</f>
        <v>1050</v>
      </c>
      <c r="E162" s="27" t="s">
        <v>1672</v>
      </c>
    </row>
    <row r="163" spans="1:5" x14ac:dyDescent="0.2">
      <c r="A163" s="27" t="s">
        <v>334</v>
      </c>
      <c r="B163" s="59" t="s">
        <v>335</v>
      </c>
      <c r="C163" s="28" t="s">
        <v>179</v>
      </c>
      <c r="D163" s="26">
        <f>1050+50</f>
        <v>1100</v>
      </c>
      <c r="E163" s="27" t="s">
        <v>1672</v>
      </c>
    </row>
    <row r="164" spans="1:5" x14ac:dyDescent="0.2">
      <c r="A164" s="27" t="s">
        <v>336</v>
      </c>
      <c r="B164" s="59" t="s">
        <v>337</v>
      </c>
      <c r="C164" s="28" t="s">
        <v>179</v>
      </c>
      <c r="D164" s="26">
        <f>1050+50</f>
        <v>1100</v>
      </c>
      <c r="E164" s="27" t="s">
        <v>1672</v>
      </c>
    </row>
    <row r="165" spans="1:5" s="5" customFormat="1" x14ac:dyDescent="0.2">
      <c r="A165" s="27" t="s">
        <v>1429</v>
      </c>
      <c r="B165" s="59" t="s">
        <v>1430</v>
      </c>
      <c r="C165" s="28" t="s">
        <v>179</v>
      </c>
      <c r="D165" s="30">
        <f>1050+100</f>
        <v>1150</v>
      </c>
      <c r="E165" s="27" t="s">
        <v>1431</v>
      </c>
    </row>
    <row r="166" spans="1:5" ht="15" customHeight="1" x14ac:dyDescent="0.2">
      <c r="A166" s="150" t="s">
        <v>1432</v>
      </c>
      <c r="B166" s="151"/>
      <c r="C166" s="151"/>
      <c r="D166" s="151"/>
      <c r="E166" s="152"/>
    </row>
    <row r="167" spans="1:5" ht="15" customHeight="1" x14ac:dyDescent="0.2">
      <c r="A167" s="27" t="s">
        <v>338</v>
      </c>
      <c r="B167" s="59" t="s">
        <v>339</v>
      </c>
      <c r="C167" s="25" t="s">
        <v>179</v>
      </c>
      <c r="D167" s="26">
        <f>820+480</f>
        <v>1300</v>
      </c>
      <c r="E167" s="24" t="s">
        <v>1298</v>
      </c>
    </row>
    <row r="168" spans="1:5" s="5" customFormat="1" ht="27.5" customHeight="1" x14ac:dyDescent="0.2">
      <c r="A168" s="27" t="s">
        <v>1468</v>
      </c>
      <c r="B168" s="59" t="s">
        <v>1433</v>
      </c>
      <c r="C168" s="25" t="s">
        <v>179</v>
      </c>
      <c r="D168" s="30">
        <f>1100+200</f>
        <v>1300</v>
      </c>
      <c r="E168" s="24" t="s">
        <v>1075</v>
      </c>
    </row>
    <row r="169" spans="1:5" s="5" customFormat="1" ht="15" customHeight="1" x14ac:dyDescent="0.2">
      <c r="A169" s="27" t="s">
        <v>774</v>
      </c>
      <c r="B169" s="59" t="s">
        <v>683</v>
      </c>
      <c r="C169" s="28" t="s">
        <v>330</v>
      </c>
      <c r="D169" s="30">
        <f>1600+400</f>
        <v>2000</v>
      </c>
      <c r="E169" s="27" t="s">
        <v>1424</v>
      </c>
    </row>
    <row r="170" spans="1:5" ht="15" customHeight="1" x14ac:dyDescent="0.2">
      <c r="A170" s="122" t="s">
        <v>340</v>
      </c>
      <c r="B170" s="122"/>
      <c r="C170" s="122"/>
      <c r="D170" s="122"/>
      <c r="E170" s="122"/>
    </row>
    <row r="171" spans="1:5" ht="15" customHeight="1" x14ac:dyDescent="0.2">
      <c r="A171" s="27" t="s">
        <v>341</v>
      </c>
      <c r="B171" s="59" t="s">
        <v>342</v>
      </c>
      <c r="C171" s="28" t="s">
        <v>179</v>
      </c>
      <c r="D171" s="26">
        <f>650+70</f>
        <v>720</v>
      </c>
      <c r="E171" s="27" t="s">
        <v>878</v>
      </c>
    </row>
    <row r="172" spans="1:5" ht="15" customHeight="1" x14ac:dyDescent="0.2">
      <c r="A172" s="27" t="s">
        <v>343</v>
      </c>
      <c r="B172" s="59" t="s">
        <v>344</v>
      </c>
      <c r="C172" s="28" t="s">
        <v>179</v>
      </c>
      <c r="D172" s="26">
        <f>310+90</f>
        <v>400</v>
      </c>
      <c r="E172" s="24" t="s">
        <v>1298</v>
      </c>
    </row>
    <row r="173" spans="1:5" ht="15" customHeight="1" x14ac:dyDescent="0.2">
      <c r="A173" s="27" t="s">
        <v>345</v>
      </c>
      <c r="B173" s="59" t="s">
        <v>346</v>
      </c>
      <c r="C173" s="28" t="s">
        <v>179</v>
      </c>
      <c r="D173" s="26">
        <f>310+110</f>
        <v>420</v>
      </c>
      <c r="E173" s="24" t="s">
        <v>1298</v>
      </c>
    </row>
    <row r="174" spans="1:5" ht="15" customHeight="1" x14ac:dyDescent="0.2">
      <c r="A174" s="27" t="s">
        <v>1664</v>
      </c>
      <c r="B174" s="59" t="s">
        <v>347</v>
      </c>
      <c r="C174" s="28" t="s">
        <v>179</v>
      </c>
      <c r="D174" s="26">
        <f>1000+300</f>
        <v>1300</v>
      </c>
      <c r="E174" s="24" t="s">
        <v>1298</v>
      </c>
    </row>
    <row r="175" spans="1:5" ht="15" customHeight="1" x14ac:dyDescent="0.2">
      <c r="A175" s="27" t="s">
        <v>348</v>
      </c>
      <c r="B175" s="59" t="s">
        <v>349</v>
      </c>
      <c r="C175" s="28" t="s">
        <v>184</v>
      </c>
      <c r="D175" s="26">
        <v>1300</v>
      </c>
      <c r="E175" s="27" t="s">
        <v>1338</v>
      </c>
    </row>
    <row r="176" spans="1:5" s="5" customFormat="1" ht="15" customHeight="1" x14ac:dyDescent="0.2">
      <c r="A176" s="27" t="s">
        <v>1101</v>
      </c>
      <c r="B176" s="59" t="s">
        <v>1102</v>
      </c>
      <c r="C176" s="28" t="s">
        <v>179</v>
      </c>
      <c r="D176" s="26">
        <f>1260+200</f>
        <v>1460</v>
      </c>
      <c r="E176" s="27" t="s">
        <v>1307</v>
      </c>
    </row>
    <row r="177" spans="1:5" ht="24" x14ac:dyDescent="0.2">
      <c r="A177" s="27" t="s">
        <v>498</v>
      </c>
      <c r="B177" s="59" t="s">
        <v>1418</v>
      </c>
      <c r="C177" s="28" t="s">
        <v>179</v>
      </c>
      <c r="D177" s="26">
        <f>1400+150</f>
        <v>1550</v>
      </c>
      <c r="E177" s="27" t="s">
        <v>1339</v>
      </c>
    </row>
    <row r="178" spans="1:5" ht="26" x14ac:dyDescent="0.2">
      <c r="A178" s="27" t="s">
        <v>775</v>
      </c>
      <c r="B178" s="59" t="s">
        <v>432</v>
      </c>
      <c r="C178" s="28" t="s">
        <v>330</v>
      </c>
      <c r="D178" s="26">
        <f>410+60</f>
        <v>470</v>
      </c>
      <c r="E178" s="27" t="s">
        <v>1308</v>
      </c>
    </row>
    <row r="179" spans="1:5" s="5" customFormat="1" x14ac:dyDescent="0.2">
      <c r="A179" s="27"/>
      <c r="B179" s="89" t="s">
        <v>1805</v>
      </c>
      <c r="C179" s="28"/>
      <c r="D179" s="26">
        <v>1350</v>
      </c>
      <c r="E179" s="27" t="s">
        <v>1806</v>
      </c>
    </row>
    <row r="180" spans="1:5" ht="26.5" customHeight="1" x14ac:dyDescent="0.2">
      <c r="A180" s="27" t="s">
        <v>150</v>
      </c>
      <c r="B180" s="59" t="s">
        <v>511</v>
      </c>
      <c r="C180" s="25" t="s">
        <v>179</v>
      </c>
      <c r="D180" s="26">
        <f>1250+100</f>
        <v>1350</v>
      </c>
      <c r="E180" s="24" t="s">
        <v>879</v>
      </c>
    </row>
    <row r="181" spans="1:5" ht="15" customHeight="1" x14ac:dyDescent="0.2">
      <c r="A181" s="122" t="s">
        <v>350</v>
      </c>
      <c r="B181" s="122"/>
      <c r="C181" s="122"/>
      <c r="D181" s="122"/>
      <c r="E181" s="122"/>
    </row>
    <row r="182" spans="1:5" ht="109.5" customHeight="1" x14ac:dyDescent="0.2">
      <c r="A182" s="27" t="s">
        <v>351</v>
      </c>
      <c r="B182" s="60" t="s">
        <v>1469</v>
      </c>
      <c r="C182" s="25" t="s">
        <v>330</v>
      </c>
      <c r="D182" s="26">
        <f>2150+650</f>
        <v>2800</v>
      </c>
      <c r="E182" s="24" t="s">
        <v>879</v>
      </c>
    </row>
    <row r="183" spans="1:5" ht="15" customHeight="1" x14ac:dyDescent="0.2">
      <c r="A183" s="27" t="s">
        <v>776</v>
      </c>
      <c r="B183" s="59" t="s">
        <v>682</v>
      </c>
      <c r="C183" s="28" t="s">
        <v>330</v>
      </c>
      <c r="D183" s="26">
        <f>1300+100</f>
        <v>1400</v>
      </c>
      <c r="E183" s="27" t="s">
        <v>1303</v>
      </c>
    </row>
    <row r="184" spans="1:5" ht="30" customHeight="1" x14ac:dyDescent="0.2">
      <c r="A184" s="27" t="s">
        <v>777</v>
      </c>
      <c r="B184" s="59" t="s">
        <v>463</v>
      </c>
      <c r="C184" s="28" t="s">
        <v>330</v>
      </c>
      <c r="D184" s="26">
        <f>1350+200</f>
        <v>1550</v>
      </c>
      <c r="E184" s="27" t="s">
        <v>1303</v>
      </c>
    </row>
    <row r="185" spans="1:5" ht="15" customHeight="1" x14ac:dyDescent="0.2">
      <c r="A185" s="27" t="s">
        <v>352</v>
      </c>
      <c r="B185" s="59" t="s">
        <v>460</v>
      </c>
      <c r="C185" s="25" t="s">
        <v>179</v>
      </c>
      <c r="D185" s="26">
        <f>1300+100</f>
        <v>1400</v>
      </c>
      <c r="E185" s="24" t="s">
        <v>1340</v>
      </c>
    </row>
    <row r="186" spans="1:5" s="5" customFormat="1" ht="15" customHeight="1" x14ac:dyDescent="0.2">
      <c r="A186" s="143" t="s">
        <v>892</v>
      </c>
      <c r="B186" s="143"/>
      <c r="C186" s="143"/>
      <c r="D186" s="143"/>
      <c r="E186" s="143"/>
    </row>
    <row r="187" spans="1:5" s="2" customFormat="1" ht="15" customHeight="1" x14ac:dyDescent="0.2">
      <c r="A187" s="27" t="s">
        <v>893</v>
      </c>
      <c r="B187" s="59" t="s">
        <v>894</v>
      </c>
      <c r="C187" s="28" t="s">
        <v>179</v>
      </c>
      <c r="D187" s="26">
        <f>1500+200</f>
        <v>1700</v>
      </c>
      <c r="E187" s="27" t="s">
        <v>1303</v>
      </c>
    </row>
    <row r="188" spans="1:5" s="2" customFormat="1" ht="15" customHeight="1" x14ac:dyDescent="0.2">
      <c r="A188" s="27" t="s">
        <v>1052</v>
      </c>
      <c r="B188" s="59" t="s">
        <v>1053</v>
      </c>
      <c r="C188" s="28" t="s">
        <v>179</v>
      </c>
      <c r="D188" s="36">
        <f>650+100</f>
        <v>750</v>
      </c>
      <c r="E188" s="27" t="s">
        <v>1075</v>
      </c>
    </row>
    <row r="189" spans="1:5" s="2" customFormat="1" ht="15" customHeight="1" x14ac:dyDescent="0.2">
      <c r="A189" s="27" t="s">
        <v>1054</v>
      </c>
      <c r="B189" s="59" t="s">
        <v>1055</v>
      </c>
      <c r="C189" s="28" t="s">
        <v>179</v>
      </c>
      <c r="D189" s="36">
        <f>700+80</f>
        <v>780</v>
      </c>
      <c r="E189" s="27" t="s">
        <v>1075</v>
      </c>
    </row>
    <row r="190" spans="1:5" ht="15" customHeight="1" x14ac:dyDescent="0.2">
      <c r="A190" s="122" t="s">
        <v>353</v>
      </c>
      <c r="B190" s="122"/>
      <c r="C190" s="122"/>
      <c r="D190" s="122"/>
      <c r="E190" s="122"/>
    </row>
    <row r="191" spans="1:5" ht="44.25" customHeight="1" x14ac:dyDescent="0.2">
      <c r="A191" s="27" t="s">
        <v>354</v>
      </c>
      <c r="B191" s="60" t="s">
        <v>1470</v>
      </c>
      <c r="C191" s="25" t="s">
        <v>330</v>
      </c>
      <c r="D191" s="26">
        <f>1900+800</f>
        <v>2700</v>
      </c>
      <c r="E191" s="32" t="s">
        <v>879</v>
      </c>
    </row>
    <row r="192" spans="1:5" x14ac:dyDescent="0.2">
      <c r="A192" s="27" t="s">
        <v>355</v>
      </c>
      <c r="B192" s="59" t="s">
        <v>455</v>
      </c>
      <c r="C192" s="28" t="s">
        <v>179</v>
      </c>
      <c r="D192" s="26">
        <f>480+220</f>
        <v>700</v>
      </c>
      <c r="E192" s="32" t="s">
        <v>1351</v>
      </c>
    </row>
    <row r="193" spans="1:5" x14ac:dyDescent="0.2">
      <c r="A193" s="27" t="s">
        <v>356</v>
      </c>
      <c r="B193" s="59" t="s">
        <v>456</v>
      </c>
      <c r="C193" s="28" t="s">
        <v>179</v>
      </c>
      <c r="D193" s="26">
        <f>480+220</f>
        <v>700</v>
      </c>
      <c r="E193" s="32" t="s">
        <v>1351</v>
      </c>
    </row>
    <row r="194" spans="1:5" ht="26.5" customHeight="1" x14ac:dyDescent="0.2">
      <c r="A194" s="27" t="s">
        <v>778</v>
      </c>
      <c r="B194" s="59" t="s">
        <v>464</v>
      </c>
      <c r="C194" s="28" t="s">
        <v>330</v>
      </c>
      <c r="D194" s="26">
        <f>1300+200</f>
        <v>1500</v>
      </c>
      <c r="E194" s="27" t="s">
        <v>1303</v>
      </c>
    </row>
    <row r="195" spans="1:5" ht="15" customHeight="1" x14ac:dyDescent="0.2">
      <c r="A195" s="27" t="s">
        <v>358</v>
      </c>
      <c r="B195" s="59" t="s">
        <v>457</v>
      </c>
      <c r="C195" s="28" t="s">
        <v>179</v>
      </c>
      <c r="D195" s="26">
        <f>630+170</f>
        <v>800</v>
      </c>
      <c r="E195" s="32" t="s">
        <v>1351</v>
      </c>
    </row>
    <row r="196" spans="1:5" ht="15" customHeight="1" x14ac:dyDescent="0.2">
      <c r="A196" s="27" t="s">
        <v>359</v>
      </c>
      <c r="B196" s="59" t="s">
        <v>454</v>
      </c>
      <c r="C196" s="28" t="s">
        <v>179</v>
      </c>
      <c r="D196" s="26">
        <f>630+170</f>
        <v>800</v>
      </c>
      <c r="E196" s="32" t="s">
        <v>1351</v>
      </c>
    </row>
    <row r="197" spans="1:5" ht="15" customHeight="1" x14ac:dyDescent="0.2">
      <c r="A197" s="27" t="s">
        <v>779</v>
      </c>
      <c r="B197" s="59" t="s">
        <v>458</v>
      </c>
      <c r="C197" s="28" t="s">
        <v>330</v>
      </c>
      <c r="D197" s="26">
        <f>1100+100</f>
        <v>1200</v>
      </c>
      <c r="E197" s="37" t="s">
        <v>1336</v>
      </c>
    </row>
    <row r="198" spans="1:5" ht="15" customHeight="1" x14ac:dyDescent="0.2">
      <c r="A198" s="27" t="s">
        <v>780</v>
      </c>
      <c r="B198" s="59" t="s">
        <v>459</v>
      </c>
      <c r="C198" s="28" t="s">
        <v>330</v>
      </c>
      <c r="D198" s="26">
        <f>1000+100</f>
        <v>1100</v>
      </c>
      <c r="E198" s="27" t="s">
        <v>1303</v>
      </c>
    </row>
    <row r="199" spans="1:5" ht="15" customHeight="1" x14ac:dyDescent="0.2">
      <c r="A199" s="122" t="s">
        <v>465</v>
      </c>
      <c r="B199" s="122"/>
      <c r="C199" s="122"/>
      <c r="D199" s="122"/>
      <c r="E199" s="122"/>
    </row>
    <row r="200" spans="1:5" x14ac:dyDescent="0.2">
      <c r="A200" s="27" t="s">
        <v>781</v>
      </c>
      <c r="B200" s="59" t="s">
        <v>679</v>
      </c>
      <c r="C200" s="28" t="s">
        <v>330</v>
      </c>
      <c r="D200" s="26">
        <f>2000+200</f>
        <v>2200</v>
      </c>
      <c r="E200" s="27" t="s">
        <v>1307</v>
      </c>
    </row>
    <row r="201" spans="1:5" ht="15" customHeight="1" x14ac:dyDescent="0.2">
      <c r="A201" s="122" t="s">
        <v>680</v>
      </c>
      <c r="B201" s="122"/>
      <c r="C201" s="122"/>
      <c r="D201" s="122"/>
      <c r="E201" s="122"/>
    </row>
    <row r="202" spans="1:5" ht="15" customHeight="1" x14ac:dyDescent="0.2">
      <c r="A202" s="27" t="s">
        <v>782</v>
      </c>
      <c r="B202" s="59" t="s">
        <v>681</v>
      </c>
      <c r="C202" s="28" t="s">
        <v>330</v>
      </c>
      <c r="D202" s="26">
        <f>800+350</f>
        <v>1150</v>
      </c>
      <c r="E202" s="27" t="s">
        <v>1309</v>
      </c>
    </row>
    <row r="203" spans="1:5" ht="15" customHeight="1" x14ac:dyDescent="0.2">
      <c r="A203" s="164" t="s">
        <v>360</v>
      </c>
      <c r="B203" s="164"/>
      <c r="C203" s="164"/>
      <c r="D203" s="164"/>
      <c r="E203" s="164"/>
    </row>
    <row r="204" spans="1:5" ht="15" customHeight="1" x14ac:dyDescent="0.2">
      <c r="A204" s="27" t="s">
        <v>361</v>
      </c>
      <c r="B204" s="59" t="s">
        <v>362</v>
      </c>
      <c r="C204" s="25" t="s">
        <v>179</v>
      </c>
      <c r="D204" s="26">
        <f>250+100</f>
        <v>350</v>
      </c>
      <c r="E204" s="24" t="s">
        <v>1298</v>
      </c>
    </row>
    <row r="205" spans="1:5" ht="15" customHeight="1" x14ac:dyDescent="0.2">
      <c r="A205" s="122" t="s">
        <v>1146</v>
      </c>
      <c r="B205" s="122"/>
      <c r="C205" s="122"/>
      <c r="D205" s="122"/>
      <c r="E205" s="122"/>
    </row>
    <row r="206" spans="1:5" s="5" customFormat="1" ht="15" customHeight="1" x14ac:dyDescent="0.2">
      <c r="A206" s="24" t="s">
        <v>1256</v>
      </c>
      <c r="B206" s="90" t="s">
        <v>1257</v>
      </c>
      <c r="C206" s="25" t="s">
        <v>179</v>
      </c>
      <c r="D206" s="29">
        <f>350+70</f>
        <v>420</v>
      </c>
      <c r="E206" s="24" t="s">
        <v>1258</v>
      </c>
    </row>
    <row r="207" spans="1:5" s="5" customFormat="1" ht="15" customHeight="1" x14ac:dyDescent="0.2">
      <c r="A207" s="27" t="s">
        <v>1650</v>
      </c>
      <c r="B207" s="59" t="s">
        <v>1651</v>
      </c>
      <c r="C207" s="27" t="s">
        <v>179</v>
      </c>
      <c r="D207" s="29">
        <f t="shared" ref="D207:D270" si="0">350+70</f>
        <v>420</v>
      </c>
      <c r="E207" s="24" t="s">
        <v>1333</v>
      </c>
    </row>
    <row r="208" spans="1:5" s="2" customFormat="1" ht="15" customHeight="1" x14ac:dyDescent="0.2">
      <c r="A208" s="27" t="s">
        <v>1112</v>
      </c>
      <c r="B208" s="59" t="s">
        <v>1387</v>
      </c>
      <c r="C208" s="25" t="s">
        <v>179</v>
      </c>
      <c r="D208" s="29">
        <f t="shared" si="0"/>
        <v>420</v>
      </c>
      <c r="E208" s="24" t="s">
        <v>1258</v>
      </c>
    </row>
    <row r="209" spans="1:5" ht="15" customHeight="1" x14ac:dyDescent="0.2">
      <c r="A209" s="27" t="s">
        <v>232</v>
      </c>
      <c r="B209" s="59" t="s">
        <v>753</v>
      </c>
      <c r="C209" s="28" t="s">
        <v>179</v>
      </c>
      <c r="D209" s="29">
        <f t="shared" si="0"/>
        <v>420</v>
      </c>
      <c r="E209" s="24" t="s">
        <v>1333</v>
      </c>
    </row>
    <row r="210" spans="1:5" s="2" customFormat="1" ht="15" customHeight="1" x14ac:dyDescent="0.2">
      <c r="A210" s="27" t="s">
        <v>1111</v>
      </c>
      <c r="B210" s="59" t="s">
        <v>386</v>
      </c>
      <c r="C210" s="28" t="s">
        <v>179</v>
      </c>
      <c r="D210" s="29">
        <f t="shared" si="0"/>
        <v>420</v>
      </c>
      <c r="E210" s="24" t="s">
        <v>1258</v>
      </c>
    </row>
    <row r="211" spans="1:5" s="2" customFormat="1" ht="15" customHeight="1" x14ac:dyDescent="0.2">
      <c r="A211" s="27" t="s">
        <v>1134</v>
      </c>
      <c r="B211" s="59" t="s">
        <v>412</v>
      </c>
      <c r="C211" s="25" t="s">
        <v>179</v>
      </c>
      <c r="D211" s="29">
        <f t="shared" si="0"/>
        <v>420</v>
      </c>
      <c r="E211" s="24" t="s">
        <v>1258</v>
      </c>
    </row>
    <row r="212" spans="1:5" ht="15" customHeight="1" x14ac:dyDescent="0.2">
      <c r="A212" s="27" t="s">
        <v>1410</v>
      </c>
      <c r="B212" s="59" t="s">
        <v>506</v>
      </c>
      <c r="C212" s="28" t="s">
        <v>179</v>
      </c>
      <c r="D212" s="29">
        <f t="shared" si="0"/>
        <v>420</v>
      </c>
      <c r="E212" s="24" t="s">
        <v>1333</v>
      </c>
    </row>
    <row r="213" spans="1:5" s="2" customFormat="1" ht="15" customHeight="1" x14ac:dyDescent="0.2">
      <c r="A213" s="27" t="s">
        <v>227</v>
      </c>
      <c r="B213" s="59" t="s">
        <v>744</v>
      </c>
      <c r="C213" s="28" t="s">
        <v>179</v>
      </c>
      <c r="D213" s="29">
        <f t="shared" si="0"/>
        <v>420</v>
      </c>
      <c r="E213" s="24" t="s">
        <v>1333</v>
      </c>
    </row>
    <row r="214" spans="1:5" s="2" customFormat="1" ht="15" customHeight="1" x14ac:dyDescent="0.2">
      <c r="A214" s="27" t="s">
        <v>1663</v>
      </c>
      <c r="B214" s="59" t="s">
        <v>387</v>
      </c>
      <c r="C214" s="28" t="s">
        <v>179</v>
      </c>
      <c r="D214" s="29">
        <f t="shared" si="0"/>
        <v>420</v>
      </c>
      <c r="E214" s="24" t="s">
        <v>1333</v>
      </c>
    </row>
    <row r="215" spans="1:5" s="2" customFormat="1" ht="15" customHeight="1" x14ac:dyDescent="0.2">
      <c r="A215" s="27" t="s">
        <v>1113</v>
      </c>
      <c r="B215" s="59" t="s">
        <v>1388</v>
      </c>
      <c r="C215" s="25" t="s">
        <v>179</v>
      </c>
      <c r="D215" s="29">
        <f t="shared" si="0"/>
        <v>420</v>
      </c>
      <c r="E215" s="24" t="s">
        <v>1258</v>
      </c>
    </row>
    <row r="216" spans="1:5" ht="15" customHeight="1" x14ac:dyDescent="0.2">
      <c r="A216" s="27" t="s">
        <v>383</v>
      </c>
      <c r="B216" s="59" t="s">
        <v>1259</v>
      </c>
      <c r="C216" s="25" t="s">
        <v>179</v>
      </c>
      <c r="D216" s="29">
        <f t="shared" si="0"/>
        <v>420</v>
      </c>
      <c r="E216" s="24" t="s">
        <v>1333</v>
      </c>
    </row>
    <row r="217" spans="1:5" ht="15" customHeight="1" x14ac:dyDescent="0.2">
      <c r="A217" s="27" t="s">
        <v>382</v>
      </c>
      <c r="B217" s="59" t="s">
        <v>1260</v>
      </c>
      <c r="C217" s="25" t="s">
        <v>179</v>
      </c>
      <c r="D217" s="29">
        <f t="shared" si="0"/>
        <v>420</v>
      </c>
      <c r="E217" s="24" t="s">
        <v>1333</v>
      </c>
    </row>
    <row r="218" spans="1:5" ht="15" customHeight="1" x14ac:dyDescent="0.2">
      <c r="A218" s="27" t="s">
        <v>1135</v>
      </c>
      <c r="B218" s="59" t="s">
        <v>390</v>
      </c>
      <c r="C218" s="28" t="s">
        <v>179</v>
      </c>
      <c r="D218" s="29">
        <f t="shared" si="0"/>
        <v>420</v>
      </c>
      <c r="E218" s="24" t="s">
        <v>1258</v>
      </c>
    </row>
    <row r="219" spans="1:5" s="2" customFormat="1" ht="15" customHeight="1" x14ac:dyDescent="0.2">
      <c r="A219" s="27" t="s">
        <v>1364</v>
      </c>
      <c r="B219" s="59" t="s">
        <v>1365</v>
      </c>
      <c r="C219" s="28" t="s">
        <v>179</v>
      </c>
      <c r="D219" s="29">
        <f t="shared" si="0"/>
        <v>420</v>
      </c>
      <c r="E219" s="24" t="s">
        <v>1258</v>
      </c>
    </row>
    <row r="220" spans="1:5" s="11" customFormat="1" ht="15" customHeight="1" x14ac:dyDescent="0.2">
      <c r="A220" s="27" t="s">
        <v>1662</v>
      </c>
      <c r="B220" s="59" t="s">
        <v>1029</v>
      </c>
      <c r="C220" s="36" t="s">
        <v>179</v>
      </c>
      <c r="D220" s="29">
        <f t="shared" si="0"/>
        <v>420</v>
      </c>
      <c r="E220" s="24" t="s">
        <v>1333</v>
      </c>
    </row>
    <row r="221" spans="1:5" s="6" customFormat="1" ht="15" customHeight="1" x14ac:dyDescent="0.2">
      <c r="A221" s="27" t="s">
        <v>1114</v>
      </c>
      <c r="B221" s="59" t="s">
        <v>398</v>
      </c>
      <c r="C221" s="25" t="s">
        <v>179</v>
      </c>
      <c r="D221" s="29">
        <f t="shared" si="0"/>
        <v>420</v>
      </c>
      <c r="E221" s="24" t="s">
        <v>1258</v>
      </c>
    </row>
    <row r="222" spans="1:5" ht="15" customHeight="1" x14ac:dyDescent="0.2">
      <c r="A222" s="27" t="s">
        <v>1115</v>
      </c>
      <c r="B222" s="59" t="s">
        <v>408</v>
      </c>
      <c r="C222" s="28" t="s">
        <v>179</v>
      </c>
      <c r="D222" s="29">
        <f t="shared" si="0"/>
        <v>420</v>
      </c>
      <c r="E222" s="24" t="s">
        <v>1258</v>
      </c>
    </row>
    <row r="223" spans="1:5" s="2" customFormat="1" ht="15" customHeight="1" x14ac:dyDescent="0.2">
      <c r="A223" s="27" t="s">
        <v>1261</v>
      </c>
      <c r="B223" s="59" t="s">
        <v>839</v>
      </c>
      <c r="C223" s="28" t="s">
        <v>179</v>
      </c>
      <c r="D223" s="29">
        <f t="shared" si="0"/>
        <v>420</v>
      </c>
      <c r="E223" s="24" t="s">
        <v>1258</v>
      </c>
    </row>
    <row r="224" spans="1:5" s="2" customFormat="1" ht="15" customHeight="1" x14ac:dyDescent="0.2">
      <c r="A224" s="27" t="s">
        <v>1136</v>
      </c>
      <c r="B224" s="59" t="s">
        <v>411</v>
      </c>
      <c r="C224" s="25" t="s">
        <v>179</v>
      </c>
      <c r="D224" s="29">
        <f t="shared" si="0"/>
        <v>420</v>
      </c>
      <c r="E224" s="24" t="s">
        <v>1258</v>
      </c>
    </row>
    <row r="225" spans="1:9" ht="15" customHeight="1" x14ac:dyDescent="0.2">
      <c r="A225" s="27" t="s">
        <v>1434</v>
      </c>
      <c r="B225" s="59" t="s">
        <v>752</v>
      </c>
      <c r="C225" s="28" t="s">
        <v>179</v>
      </c>
      <c r="D225" s="29">
        <f t="shared" si="0"/>
        <v>420</v>
      </c>
      <c r="E225" s="24" t="s">
        <v>1333</v>
      </c>
    </row>
    <row r="226" spans="1:9" ht="15" customHeight="1" x14ac:dyDescent="0.2">
      <c r="A226" s="27" t="s">
        <v>415</v>
      </c>
      <c r="B226" s="59" t="s">
        <v>416</v>
      </c>
      <c r="C226" s="28" t="s">
        <v>179</v>
      </c>
      <c r="D226" s="29">
        <f t="shared" si="0"/>
        <v>420</v>
      </c>
      <c r="E226" s="24" t="s">
        <v>1333</v>
      </c>
    </row>
    <row r="227" spans="1:9" s="2" customFormat="1" ht="15" customHeight="1" x14ac:dyDescent="0.2">
      <c r="A227" s="27" t="s">
        <v>1117</v>
      </c>
      <c r="B227" s="59" t="s">
        <v>396</v>
      </c>
      <c r="C227" s="25" t="s">
        <v>179</v>
      </c>
      <c r="D227" s="29">
        <f t="shared" si="0"/>
        <v>420</v>
      </c>
      <c r="E227" s="24" t="s">
        <v>1258</v>
      </c>
    </row>
    <row r="228" spans="1:9" ht="15" customHeight="1" x14ac:dyDescent="0.2">
      <c r="A228" s="27" t="s">
        <v>226</v>
      </c>
      <c r="B228" s="59" t="s">
        <v>743</v>
      </c>
      <c r="C228" s="25" t="s">
        <v>179</v>
      </c>
      <c r="D228" s="29">
        <f t="shared" si="0"/>
        <v>420</v>
      </c>
      <c r="E228" s="24" t="s">
        <v>1333</v>
      </c>
    </row>
    <row r="229" spans="1:9" ht="15" customHeight="1" x14ac:dyDescent="0.2">
      <c r="A229" s="27" t="s">
        <v>414</v>
      </c>
      <c r="B229" s="59" t="s">
        <v>1139</v>
      </c>
      <c r="C229" s="28" t="s">
        <v>179</v>
      </c>
      <c r="D229" s="29">
        <f t="shared" si="0"/>
        <v>420</v>
      </c>
      <c r="E229" s="24" t="s">
        <v>1333</v>
      </c>
    </row>
    <row r="230" spans="1:9" s="2" customFormat="1" ht="15" customHeight="1" x14ac:dyDescent="0.2">
      <c r="A230" s="27" t="s">
        <v>1137</v>
      </c>
      <c r="B230" s="59" t="s">
        <v>1138</v>
      </c>
      <c r="C230" s="25" t="s">
        <v>179</v>
      </c>
      <c r="D230" s="29">
        <f t="shared" si="0"/>
        <v>420</v>
      </c>
      <c r="E230" s="24" t="s">
        <v>1258</v>
      </c>
    </row>
    <row r="231" spans="1:9" s="5" customFormat="1" ht="15" customHeight="1" x14ac:dyDescent="0.2">
      <c r="A231" s="27" t="s">
        <v>1467</v>
      </c>
      <c r="B231" s="59" t="s">
        <v>750</v>
      </c>
      <c r="C231" s="28" t="s">
        <v>179</v>
      </c>
      <c r="D231" s="29">
        <f t="shared" si="0"/>
        <v>420</v>
      </c>
      <c r="E231" s="24" t="s">
        <v>1258</v>
      </c>
      <c r="F231" s="20"/>
      <c r="G231" s="20"/>
      <c r="H231" s="20"/>
      <c r="I231" s="20"/>
    </row>
    <row r="232" spans="1:9" s="2" customFormat="1" ht="15" customHeight="1" x14ac:dyDescent="0.2">
      <c r="A232" s="27" t="s">
        <v>1262</v>
      </c>
      <c r="B232" s="59" t="s">
        <v>1389</v>
      </c>
      <c r="C232" s="28" t="s">
        <v>179</v>
      </c>
      <c r="D232" s="29">
        <f t="shared" si="0"/>
        <v>420</v>
      </c>
      <c r="E232" s="24" t="s">
        <v>1258</v>
      </c>
    </row>
    <row r="233" spans="1:9" ht="15" customHeight="1" x14ac:dyDescent="0.2">
      <c r="A233" s="27" t="s">
        <v>233</v>
      </c>
      <c r="B233" s="59" t="s">
        <v>754</v>
      </c>
      <c r="C233" s="25" t="s">
        <v>179</v>
      </c>
      <c r="D233" s="29">
        <f t="shared" si="0"/>
        <v>420</v>
      </c>
      <c r="E233" s="24" t="s">
        <v>1333</v>
      </c>
    </row>
    <row r="234" spans="1:9" ht="15" customHeight="1" x14ac:dyDescent="0.2">
      <c r="A234" s="27" t="s">
        <v>405</v>
      </c>
      <c r="B234" s="59" t="s">
        <v>406</v>
      </c>
      <c r="C234" s="25" t="s">
        <v>179</v>
      </c>
      <c r="D234" s="29">
        <f t="shared" si="0"/>
        <v>420</v>
      </c>
      <c r="E234" s="24" t="s">
        <v>1333</v>
      </c>
    </row>
    <row r="235" spans="1:9" ht="15" customHeight="1" x14ac:dyDescent="0.2">
      <c r="A235" s="27" t="s">
        <v>231</v>
      </c>
      <c r="B235" s="59" t="s">
        <v>751</v>
      </c>
      <c r="C235" s="28" t="s">
        <v>179</v>
      </c>
      <c r="D235" s="29">
        <f t="shared" si="0"/>
        <v>420</v>
      </c>
      <c r="E235" s="24" t="s">
        <v>1333</v>
      </c>
    </row>
    <row r="236" spans="1:9" s="2" customFormat="1" ht="15" customHeight="1" x14ac:dyDescent="0.2">
      <c r="A236" s="27" t="s">
        <v>229</v>
      </c>
      <c r="B236" s="59" t="s">
        <v>746</v>
      </c>
      <c r="C236" s="25" t="s">
        <v>179</v>
      </c>
      <c r="D236" s="29">
        <f t="shared" si="0"/>
        <v>420</v>
      </c>
      <c r="E236" s="24" t="s">
        <v>1333</v>
      </c>
    </row>
    <row r="237" spans="1:9" s="5" customFormat="1" ht="15" customHeight="1" x14ac:dyDescent="0.2">
      <c r="A237" s="27" t="s">
        <v>389</v>
      </c>
      <c r="B237" s="59" t="s">
        <v>388</v>
      </c>
      <c r="C237" s="28" t="s">
        <v>179</v>
      </c>
      <c r="D237" s="29">
        <f t="shared" si="0"/>
        <v>420</v>
      </c>
      <c r="E237" s="24" t="s">
        <v>1333</v>
      </c>
    </row>
    <row r="238" spans="1:9" s="2" customFormat="1" ht="15" customHeight="1" x14ac:dyDescent="0.2">
      <c r="A238" s="27" t="s">
        <v>508</v>
      </c>
      <c r="B238" s="59" t="s">
        <v>505</v>
      </c>
      <c r="C238" s="28" t="s">
        <v>179</v>
      </c>
      <c r="D238" s="29">
        <f t="shared" si="0"/>
        <v>420</v>
      </c>
      <c r="E238" s="24" t="s">
        <v>1333</v>
      </c>
    </row>
    <row r="239" spans="1:9" s="2" customFormat="1" ht="15" customHeight="1" x14ac:dyDescent="0.2">
      <c r="A239" s="27" t="s">
        <v>384</v>
      </c>
      <c r="B239" s="59" t="s">
        <v>385</v>
      </c>
      <c r="C239" s="28" t="s">
        <v>179</v>
      </c>
      <c r="D239" s="29">
        <f t="shared" si="0"/>
        <v>420</v>
      </c>
      <c r="E239" s="24" t="s">
        <v>1333</v>
      </c>
    </row>
    <row r="240" spans="1:9" s="2" customFormat="1" ht="15" customHeight="1" x14ac:dyDescent="0.2">
      <c r="A240" s="27" t="s">
        <v>515</v>
      </c>
      <c r="B240" s="59" t="s">
        <v>516</v>
      </c>
      <c r="C240" s="25" t="s">
        <v>179</v>
      </c>
      <c r="D240" s="29">
        <f t="shared" si="0"/>
        <v>420</v>
      </c>
      <c r="E240" s="24" t="s">
        <v>1333</v>
      </c>
    </row>
    <row r="241" spans="1:5" ht="15" customHeight="1" x14ac:dyDescent="0.2">
      <c r="A241" s="27" t="s">
        <v>234</v>
      </c>
      <c r="B241" s="59" t="s">
        <v>1390</v>
      </c>
      <c r="C241" s="25" t="s">
        <v>179</v>
      </c>
      <c r="D241" s="29">
        <f t="shared" si="0"/>
        <v>420</v>
      </c>
      <c r="E241" s="24" t="s">
        <v>1333</v>
      </c>
    </row>
    <row r="242" spans="1:5" ht="15" customHeight="1" x14ac:dyDescent="0.2">
      <c r="A242" s="27" t="s">
        <v>1118</v>
      </c>
      <c r="B242" s="59" t="s">
        <v>1391</v>
      </c>
      <c r="C242" s="25" t="s">
        <v>179</v>
      </c>
      <c r="D242" s="29">
        <f t="shared" si="0"/>
        <v>420</v>
      </c>
      <c r="E242" s="24" t="s">
        <v>1258</v>
      </c>
    </row>
    <row r="243" spans="1:5" ht="15" customHeight="1" x14ac:dyDescent="0.2">
      <c r="A243" s="27" t="s">
        <v>1264</v>
      </c>
      <c r="B243" s="59" t="s">
        <v>413</v>
      </c>
      <c r="C243" s="28" t="s">
        <v>179</v>
      </c>
      <c r="D243" s="29">
        <f t="shared" si="0"/>
        <v>420</v>
      </c>
      <c r="E243" s="24" t="s">
        <v>1258</v>
      </c>
    </row>
    <row r="244" spans="1:5" s="2" customFormat="1" ht="15" customHeight="1" x14ac:dyDescent="0.2">
      <c r="A244" s="27" t="s">
        <v>1116</v>
      </c>
      <c r="B244" s="59" t="s">
        <v>391</v>
      </c>
      <c r="C244" s="28" t="s">
        <v>179</v>
      </c>
      <c r="D244" s="29">
        <f t="shared" si="0"/>
        <v>420</v>
      </c>
      <c r="E244" s="24" t="s">
        <v>1258</v>
      </c>
    </row>
    <row r="245" spans="1:5" s="2" customFormat="1" ht="15" customHeight="1" x14ac:dyDescent="0.2">
      <c r="A245" s="27" t="s">
        <v>235</v>
      </c>
      <c r="B245" s="59" t="s">
        <v>755</v>
      </c>
      <c r="C245" s="25" t="s">
        <v>179</v>
      </c>
      <c r="D245" s="29">
        <f t="shared" si="0"/>
        <v>420</v>
      </c>
      <c r="E245" s="24" t="s">
        <v>1333</v>
      </c>
    </row>
    <row r="246" spans="1:5" ht="15" customHeight="1" x14ac:dyDescent="0.2">
      <c r="A246" s="27" t="s">
        <v>1140</v>
      </c>
      <c r="B246" s="59" t="s">
        <v>397</v>
      </c>
      <c r="C246" s="28" t="s">
        <v>179</v>
      </c>
      <c r="D246" s="29">
        <f t="shared" si="0"/>
        <v>420</v>
      </c>
      <c r="E246" s="24" t="s">
        <v>1258</v>
      </c>
    </row>
    <row r="247" spans="1:5" s="2" customFormat="1" ht="15" customHeight="1" x14ac:dyDescent="0.2">
      <c r="A247" s="86" t="s">
        <v>1797</v>
      </c>
      <c r="B247" s="59" t="s">
        <v>407</v>
      </c>
      <c r="C247" s="28" t="s">
        <v>179</v>
      </c>
      <c r="D247" s="29">
        <f t="shared" si="0"/>
        <v>420</v>
      </c>
      <c r="E247" s="24" t="s">
        <v>1333</v>
      </c>
    </row>
    <row r="248" spans="1:5" ht="15" customHeight="1" x14ac:dyDescent="0.2">
      <c r="A248" s="27" t="s">
        <v>1141</v>
      </c>
      <c r="B248" s="59" t="s">
        <v>841</v>
      </c>
      <c r="C248" s="28" t="s">
        <v>179</v>
      </c>
      <c r="D248" s="29">
        <f t="shared" si="0"/>
        <v>420</v>
      </c>
      <c r="E248" s="24" t="s">
        <v>1258</v>
      </c>
    </row>
    <row r="249" spans="1:5" ht="15" customHeight="1" x14ac:dyDescent="0.2">
      <c r="A249" s="27" t="s">
        <v>236</v>
      </c>
      <c r="B249" s="59" t="s">
        <v>756</v>
      </c>
      <c r="C249" s="25" t="s">
        <v>179</v>
      </c>
      <c r="D249" s="29">
        <f t="shared" si="0"/>
        <v>420</v>
      </c>
      <c r="E249" s="24" t="s">
        <v>1333</v>
      </c>
    </row>
    <row r="250" spans="1:5" ht="15" customHeight="1" x14ac:dyDescent="0.2">
      <c r="A250" s="27" t="s">
        <v>1119</v>
      </c>
      <c r="B250" s="59" t="s">
        <v>1453</v>
      </c>
      <c r="C250" s="25" t="s">
        <v>179</v>
      </c>
      <c r="D250" s="29">
        <f t="shared" si="0"/>
        <v>420</v>
      </c>
      <c r="E250" s="24" t="s">
        <v>1258</v>
      </c>
    </row>
    <row r="251" spans="1:5" ht="15" customHeight="1" x14ac:dyDescent="0.2">
      <c r="A251" s="27" t="s">
        <v>1366</v>
      </c>
      <c r="B251" s="59" t="s">
        <v>1367</v>
      </c>
      <c r="C251" s="25" t="s">
        <v>179</v>
      </c>
      <c r="D251" s="29">
        <f t="shared" si="0"/>
        <v>420</v>
      </c>
      <c r="E251" s="24" t="s">
        <v>1258</v>
      </c>
    </row>
    <row r="252" spans="1:5" ht="15" customHeight="1" x14ac:dyDescent="0.2">
      <c r="A252" s="27" t="s">
        <v>844</v>
      </c>
      <c r="B252" s="59" t="s">
        <v>842</v>
      </c>
      <c r="C252" s="28" t="s">
        <v>179</v>
      </c>
      <c r="D252" s="29">
        <f t="shared" si="0"/>
        <v>420</v>
      </c>
      <c r="E252" s="24" t="s">
        <v>1333</v>
      </c>
    </row>
    <row r="253" spans="1:5" s="2" customFormat="1" ht="15" customHeight="1" x14ac:dyDescent="0.2">
      <c r="A253" s="27" t="s">
        <v>510</v>
      </c>
      <c r="B253" s="59" t="s">
        <v>747</v>
      </c>
      <c r="C253" s="28" t="s">
        <v>179</v>
      </c>
      <c r="D253" s="29">
        <f t="shared" si="0"/>
        <v>420</v>
      </c>
      <c r="E253" s="24" t="s">
        <v>1333</v>
      </c>
    </row>
    <row r="254" spans="1:5" s="2" customFormat="1" ht="15" customHeight="1" x14ac:dyDescent="0.2">
      <c r="A254" s="27" t="s">
        <v>1368</v>
      </c>
      <c r="B254" s="59" t="s">
        <v>392</v>
      </c>
      <c r="C254" s="25" t="s">
        <v>179</v>
      </c>
      <c r="D254" s="29">
        <f t="shared" si="0"/>
        <v>420</v>
      </c>
      <c r="E254" s="24" t="s">
        <v>1258</v>
      </c>
    </row>
    <row r="255" spans="1:5" s="2" customFormat="1" ht="15" customHeight="1" x14ac:dyDescent="0.2">
      <c r="A255" s="27" t="s">
        <v>399</v>
      </c>
      <c r="B255" s="59" t="s">
        <v>400</v>
      </c>
      <c r="C255" s="25" t="s">
        <v>179</v>
      </c>
      <c r="D255" s="29">
        <f t="shared" si="0"/>
        <v>420</v>
      </c>
      <c r="E255" s="24" t="s">
        <v>1333</v>
      </c>
    </row>
    <row r="256" spans="1:5" ht="15" customHeight="1" x14ac:dyDescent="0.2">
      <c r="A256" s="27" t="s">
        <v>401</v>
      </c>
      <c r="B256" s="59" t="s">
        <v>402</v>
      </c>
      <c r="C256" s="25" t="s">
        <v>179</v>
      </c>
      <c r="D256" s="29">
        <f t="shared" si="0"/>
        <v>420</v>
      </c>
      <c r="E256" s="24" t="s">
        <v>1333</v>
      </c>
    </row>
    <row r="257" spans="1:5" ht="15" customHeight="1" x14ac:dyDescent="0.2">
      <c r="A257" s="27" t="s">
        <v>409</v>
      </c>
      <c r="B257" s="59" t="s">
        <v>410</v>
      </c>
      <c r="C257" s="25" t="s">
        <v>179</v>
      </c>
      <c r="D257" s="29">
        <f t="shared" si="0"/>
        <v>420</v>
      </c>
      <c r="E257" s="24" t="s">
        <v>1333</v>
      </c>
    </row>
    <row r="258" spans="1:5" ht="15" customHeight="1" x14ac:dyDescent="0.2">
      <c r="A258" s="27" t="s">
        <v>225</v>
      </c>
      <c r="B258" s="59" t="s">
        <v>742</v>
      </c>
      <c r="C258" s="25" t="s">
        <v>179</v>
      </c>
      <c r="D258" s="29">
        <f t="shared" si="0"/>
        <v>420</v>
      </c>
      <c r="E258" s="24" t="s">
        <v>1333</v>
      </c>
    </row>
    <row r="259" spans="1:5" ht="15" customHeight="1" x14ac:dyDescent="0.2">
      <c r="A259" s="27" t="s">
        <v>843</v>
      </c>
      <c r="B259" s="59" t="s">
        <v>840</v>
      </c>
      <c r="C259" s="28" t="s">
        <v>179</v>
      </c>
      <c r="D259" s="29">
        <f t="shared" si="0"/>
        <v>420</v>
      </c>
      <c r="E259" s="24" t="s">
        <v>1333</v>
      </c>
    </row>
    <row r="260" spans="1:5" s="2" customFormat="1" ht="15" customHeight="1" x14ac:dyDescent="0.2">
      <c r="A260" s="27" t="s">
        <v>1142</v>
      </c>
      <c r="B260" s="59" t="s">
        <v>1263</v>
      </c>
      <c r="C260" s="25" t="s">
        <v>179</v>
      </c>
      <c r="D260" s="29">
        <f t="shared" si="0"/>
        <v>420</v>
      </c>
      <c r="E260" s="24" t="s">
        <v>1258</v>
      </c>
    </row>
    <row r="261" spans="1:5" ht="15" customHeight="1" x14ac:dyDescent="0.2">
      <c r="A261" s="27" t="s">
        <v>230</v>
      </c>
      <c r="B261" s="59" t="s">
        <v>748</v>
      </c>
      <c r="C261" s="25" t="s">
        <v>179</v>
      </c>
      <c r="D261" s="29">
        <f t="shared" si="0"/>
        <v>420</v>
      </c>
      <c r="E261" s="24" t="s">
        <v>1333</v>
      </c>
    </row>
    <row r="262" spans="1:5" ht="15" customHeight="1" x14ac:dyDescent="0.2">
      <c r="A262" s="27" t="s">
        <v>1369</v>
      </c>
      <c r="B262" s="59" t="s">
        <v>749</v>
      </c>
      <c r="C262" s="28" t="s">
        <v>179</v>
      </c>
      <c r="D262" s="29">
        <f t="shared" si="0"/>
        <v>420</v>
      </c>
      <c r="E262" s="24" t="s">
        <v>1258</v>
      </c>
    </row>
    <row r="263" spans="1:5" s="2" customFormat="1" ht="15" customHeight="1" x14ac:dyDescent="0.2">
      <c r="A263" s="27" t="s">
        <v>403</v>
      </c>
      <c r="B263" s="59" t="s">
        <v>404</v>
      </c>
      <c r="C263" s="25" t="s">
        <v>179</v>
      </c>
      <c r="D263" s="29">
        <f t="shared" si="0"/>
        <v>420</v>
      </c>
      <c r="E263" s="24" t="s">
        <v>1333</v>
      </c>
    </row>
    <row r="264" spans="1:5" ht="15" customHeight="1" x14ac:dyDescent="0.2">
      <c r="A264" s="27" t="s">
        <v>1143</v>
      </c>
      <c r="B264" s="59" t="s">
        <v>417</v>
      </c>
      <c r="C264" s="28" t="s">
        <v>179</v>
      </c>
      <c r="D264" s="29">
        <f t="shared" si="0"/>
        <v>420</v>
      </c>
      <c r="E264" s="24" t="s">
        <v>1258</v>
      </c>
    </row>
    <row r="265" spans="1:5" s="2" customFormat="1" ht="15" customHeight="1" x14ac:dyDescent="0.2">
      <c r="A265" s="27" t="s">
        <v>228</v>
      </c>
      <c r="B265" s="59" t="s">
        <v>745</v>
      </c>
      <c r="C265" s="25" t="s">
        <v>179</v>
      </c>
      <c r="D265" s="29">
        <f t="shared" si="0"/>
        <v>420</v>
      </c>
      <c r="E265" s="24" t="s">
        <v>1333</v>
      </c>
    </row>
    <row r="266" spans="1:5" ht="15" customHeight="1" x14ac:dyDescent="0.2">
      <c r="A266" s="27" t="s">
        <v>224</v>
      </c>
      <c r="B266" s="59" t="s">
        <v>737</v>
      </c>
      <c r="C266" s="25" t="s">
        <v>179</v>
      </c>
      <c r="D266" s="29">
        <f t="shared" si="0"/>
        <v>420</v>
      </c>
      <c r="E266" s="24" t="s">
        <v>1333</v>
      </c>
    </row>
    <row r="267" spans="1:5" ht="15" customHeight="1" x14ac:dyDescent="0.15">
      <c r="A267" s="27" t="s">
        <v>1144</v>
      </c>
      <c r="B267" s="59" t="s">
        <v>1030</v>
      </c>
      <c r="C267" s="38" t="s">
        <v>179</v>
      </c>
      <c r="D267" s="29">
        <f t="shared" si="0"/>
        <v>420</v>
      </c>
      <c r="E267" s="24" t="s">
        <v>1258</v>
      </c>
    </row>
    <row r="268" spans="1:5" s="7" customFormat="1" ht="15" customHeight="1" x14ac:dyDescent="0.2">
      <c r="A268" s="27" t="s">
        <v>1741</v>
      </c>
      <c r="B268" s="59" t="s">
        <v>418</v>
      </c>
      <c r="C268" s="25" t="s">
        <v>179</v>
      </c>
      <c r="D268" s="29">
        <f t="shared" si="0"/>
        <v>420</v>
      </c>
      <c r="E268" s="24" t="s">
        <v>1333</v>
      </c>
    </row>
    <row r="269" spans="1:5" ht="15" customHeight="1" x14ac:dyDescent="0.2">
      <c r="A269" s="27" t="s">
        <v>1122</v>
      </c>
      <c r="B269" s="59" t="s">
        <v>838</v>
      </c>
      <c r="C269" s="28" t="s">
        <v>179</v>
      </c>
      <c r="D269" s="29">
        <f t="shared" si="0"/>
        <v>420</v>
      </c>
      <c r="E269" s="24" t="s">
        <v>1258</v>
      </c>
    </row>
    <row r="270" spans="1:5" s="2" customFormat="1" ht="15" customHeight="1" x14ac:dyDescent="0.2">
      <c r="A270" s="27" t="s">
        <v>1123</v>
      </c>
      <c r="B270" s="59" t="s">
        <v>1392</v>
      </c>
      <c r="C270" s="28" t="s">
        <v>179</v>
      </c>
      <c r="D270" s="29">
        <f t="shared" si="0"/>
        <v>420</v>
      </c>
      <c r="E270" s="24" t="s">
        <v>1258</v>
      </c>
    </row>
    <row r="271" spans="1:5" s="2" customFormat="1" ht="15" customHeight="1" x14ac:dyDescent="0.2">
      <c r="A271" s="122" t="s">
        <v>1147</v>
      </c>
      <c r="B271" s="122"/>
      <c r="C271" s="122"/>
      <c r="D271" s="122"/>
      <c r="E271" s="122"/>
    </row>
    <row r="272" spans="1:5" ht="15" customHeight="1" x14ac:dyDescent="0.2">
      <c r="A272" s="27" t="s">
        <v>1747</v>
      </c>
      <c r="B272" s="59" t="s">
        <v>738</v>
      </c>
      <c r="C272" s="25" t="s">
        <v>179</v>
      </c>
      <c r="D272" s="26">
        <f>350+70</f>
        <v>420</v>
      </c>
      <c r="E272" s="24" t="s">
        <v>1748</v>
      </c>
    </row>
    <row r="273" spans="1:5" ht="15" customHeight="1" x14ac:dyDescent="0.2">
      <c r="A273" s="27" t="s">
        <v>1145</v>
      </c>
      <c r="B273" s="59" t="s">
        <v>378</v>
      </c>
      <c r="C273" s="25" t="s">
        <v>179</v>
      </c>
      <c r="D273" s="26">
        <f t="shared" ref="D273:D276" si="1">350+70</f>
        <v>420</v>
      </c>
      <c r="E273" s="24" t="s">
        <v>1258</v>
      </c>
    </row>
    <row r="274" spans="1:5" ht="15" customHeight="1" x14ac:dyDescent="0.2">
      <c r="A274" s="27" t="s">
        <v>223</v>
      </c>
      <c r="B274" s="59" t="s">
        <v>739</v>
      </c>
      <c r="C274" s="25" t="s">
        <v>179</v>
      </c>
      <c r="D274" s="26">
        <f t="shared" si="1"/>
        <v>420</v>
      </c>
      <c r="E274" s="24" t="s">
        <v>1333</v>
      </c>
    </row>
    <row r="275" spans="1:5" ht="15" customHeight="1" x14ac:dyDescent="0.2">
      <c r="A275" s="27" t="s">
        <v>380</v>
      </c>
      <c r="B275" s="59" t="s">
        <v>381</v>
      </c>
      <c r="C275" s="25" t="s">
        <v>179</v>
      </c>
      <c r="D275" s="26">
        <f t="shared" si="1"/>
        <v>420</v>
      </c>
      <c r="E275" s="24" t="s">
        <v>1333</v>
      </c>
    </row>
    <row r="276" spans="1:5" ht="15" customHeight="1" x14ac:dyDescent="0.2">
      <c r="A276" s="27" t="s">
        <v>1696</v>
      </c>
      <c r="B276" s="59" t="s">
        <v>379</v>
      </c>
      <c r="C276" s="25" t="s">
        <v>179</v>
      </c>
      <c r="D276" s="26">
        <f t="shared" si="1"/>
        <v>420</v>
      </c>
      <c r="E276" s="24" t="s">
        <v>1258</v>
      </c>
    </row>
    <row r="277" spans="1:5" ht="15" customHeight="1" x14ac:dyDescent="0.2">
      <c r="A277" s="122" t="s">
        <v>1148</v>
      </c>
      <c r="B277" s="122"/>
      <c r="C277" s="122"/>
      <c r="D277" s="122"/>
      <c r="E277" s="122"/>
    </row>
    <row r="278" spans="1:5" ht="15" customHeight="1" x14ac:dyDescent="0.2">
      <c r="A278" s="27" t="s">
        <v>1265</v>
      </c>
      <c r="B278" s="59" t="s">
        <v>1266</v>
      </c>
      <c r="C278" s="25" t="s">
        <v>179</v>
      </c>
      <c r="D278" s="26">
        <f>350+70</f>
        <v>420</v>
      </c>
      <c r="E278" s="24" t="s">
        <v>1298</v>
      </c>
    </row>
    <row r="279" spans="1:5" s="5" customFormat="1" ht="15" customHeight="1" x14ac:dyDescent="0.2">
      <c r="A279" s="27" t="s">
        <v>1267</v>
      </c>
      <c r="B279" s="59" t="s">
        <v>1268</v>
      </c>
      <c r="C279" s="25" t="s">
        <v>179</v>
      </c>
      <c r="D279" s="26">
        <f t="shared" ref="D279:D284" si="2">350+70</f>
        <v>420</v>
      </c>
      <c r="E279" s="24" t="s">
        <v>1298</v>
      </c>
    </row>
    <row r="280" spans="1:5" s="5" customFormat="1" ht="15" customHeight="1" x14ac:dyDescent="0.2">
      <c r="A280" s="27" t="s">
        <v>1370</v>
      </c>
      <c r="B280" s="59" t="s">
        <v>377</v>
      </c>
      <c r="C280" s="25" t="s">
        <v>179</v>
      </c>
      <c r="D280" s="26">
        <f t="shared" si="2"/>
        <v>420</v>
      </c>
      <c r="E280" s="32" t="s">
        <v>1298</v>
      </c>
    </row>
    <row r="281" spans="1:5" ht="15" customHeight="1" x14ac:dyDescent="0.2">
      <c r="A281" s="27" t="s">
        <v>1371</v>
      </c>
      <c r="B281" s="59" t="s">
        <v>375</v>
      </c>
      <c r="C281" s="25" t="s">
        <v>179</v>
      </c>
      <c r="D281" s="26">
        <f t="shared" si="2"/>
        <v>420</v>
      </c>
      <c r="E281" s="32" t="s">
        <v>1298</v>
      </c>
    </row>
    <row r="282" spans="1:5" ht="15" customHeight="1" x14ac:dyDescent="0.2">
      <c r="A282" s="27" t="s">
        <v>1435</v>
      </c>
      <c r="B282" s="59" t="s">
        <v>376</v>
      </c>
      <c r="C282" s="25" t="s">
        <v>179</v>
      </c>
      <c r="D282" s="26">
        <f t="shared" si="2"/>
        <v>420</v>
      </c>
      <c r="E282" s="32" t="s">
        <v>1298</v>
      </c>
    </row>
    <row r="283" spans="1:5" ht="15" customHeight="1" x14ac:dyDescent="0.2">
      <c r="A283" s="27" t="s">
        <v>1739</v>
      </c>
      <c r="B283" s="59" t="s">
        <v>740</v>
      </c>
      <c r="C283" s="25" t="s">
        <v>179</v>
      </c>
      <c r="D283" s="26">
        <f t="shared" si="2"/>
        <v>420</v>
      </c>
      <c r="E283" s="32" t="s">
        <v>1310</v>
      </c>
    </row>
    <row r="284" spans="1:5" ht="15" customHeight="1" x14ac:dyDescent="0.2">
      <c r="A284" s="27" t="s">
        <v>1372</v>
      </c>
      <c r="B284" s="59" t="s">
        <v>741</v>
      </c>
      <c r="C284" s="25" t="s">
        <v>179</v>
      </c>
      <c r="D284" s="26">
        <f t="shared" si="2"/>
        <v>420</v>
      </c>
      <c r="E284" s="32" t="s">
        <v>1298</v>
      </c>
    </row>
    <row r="285" spans="1:5" ht="15" customHeight="1" x14ac:dyDescent="0.2">
      <c r="A285" s="122" t="s">
        <v>1149</v>
      </c>
      <c r="B285" s="122"/>
      <c r="C285" s="122"/>
      <c r="D285" s="122"/>
      <c r="E285" s="122"/>
    </row>
    <row r="286" spans="1:5" ht="30" customHeight="1" x14ac:dyDescent="0.2">
      <c r="A286" s="27" t="s">
        <v>1125</v>
      </c>
      <c r="B286" s="59" t="s">
        <v>693</v>
      </c>
      <c r="C286" s="25" t="s">
        <v>179</v>
      </c>
      <c r="D286" s="26">
        <f>350+70</f>
        <v>420</v>
      </c>
      <c r="E286" s="24" t="s">
        <v>1298</v>
      </c>
    </row>
    <row r="287" spans="1:5" ht="30" customHeight="1" x14ac:dyDescent="0.2">
      <c r="A287" s="27" t="s">
        <v>1124</v>
      </c>
      <c r="B287" s="59" t="s">
        <v>395</v>
      </c>
      <c r="C287" s="25" t="s">
        <v>179</v>
      </c>
      <c r="D287" s="26">
        <f>350+70</f>
        <v>420</v>
      </c>
      <c r="E287" s="24" t="s">
        <v>1298</v>
      </c>
    </row>
    <row r="288" spans="1:5" ht="15" customHeight="1" x14ac:dyDescent="0.2">
      <c r="A288" s="122" t="s">
        <v>1150</v>
      </c>
      <c r="B288" s="122"/>
      <c r="C288" s="122"/>
      <c r="D288" s="122"/>
      <c r="E288" s="122"/>
    </row>
    <row r="289" spans="1:5" s="14" customFormat="1" ht="15" customHeight="1" x14ac:dyDescent="0.2">
      <c r="A289" s="27" t="s">
        <v>1050</v>
      </c>
      <c r="B289" s="59" t="s">
        <v>1051</v>
      </c>
      <c r="C289" s="25" t="s">
        <v>179</v>
      </c>
      <c r="D289" s="26">
        <f>350+70</f>
        <v>420</v>
      </c>
      <c r="E289" s="32" t="s">
        <v>1310</v>
      </c>
    </row>
    <row r="290" spans="1:5" s="5" customFormat="1" ht="15" customHeight="1" x14ac:dyDescent="0.2">
      <c r="A290" s="27" t="s">
        <v>367</v>
      </c>
      <c r="B290" s="59" t="s">
        <v>368</v>
      </c>
      <c r="C290" s="25" t="s">
        <v>179</v>
      </c>
      <c r="D290" s="26">
        <f t="shared" ref="D290:D293" si="3">350+70</f>
        <v>420</v>
      </c>
      <c r="E290" s="32" t="s">
        <v>1310</v>
      </c>
    </row>
    <row r="291" spans="1:5" s="5" customFormat="1" ht="15" customHeight="1" x14ac:dyDescent="0.2">
      <c r="A291" s="27" t="s">
        <v>364</v>
      </c>
      <c r="B291" s="59" t="s">
        <v>365</v>
      </c>
      <c r="C291" s="25" t="s">
        <v>179</v>
      </c>
      <c r="D291" s="26">
        <f t="shared" si="3"/>
        <v>420</v>
      </c>
      <c r="E291" s="32" t="s">
        <v>1310</v>
      </c>
    </row>
    <row r="292" spans="1:5" ht="15" customHeight="1" x14ac:dyDescent="0.2">
      <c r="A292" s="27" t="s">
        <v>1120</v>
      </c>
      <c r="B292" s="59" t="s">
        <v>366</v>
      </c>
      <c r="C292" s="25" t="s">
        <v>179</v>
      </c>
      <c r="D292" s="26">
        <f t="shared" si="3"/>
        <v>420</v>
      </c>
      <c r="E292" s="24" t="s">
        <v>1298</v>
      </c>
    </row>
    <row r="293" spans="1:5" ht="15" customHeight="1" x14ac:dyDescent="0.2">
      <c r="A293" s="27" t="s">
        <v>1121</v>
      </c>
      <c r="B293" s="59" t="s">
        <v>363</v>
      </c>
      <c r="C293" s="25" t="s">
        <v>179</v>
      </c>
      <c r="D293" s="26">
        <f t="shared" si="3"/>
        <v>420</v>
      </c>
      <c r="E293" s="24" t="s">
        <v>1298</v>
      </c>
    </row>
    <row r="294" spans="1:5" ht="15" customHeight="1" x14ac:dyDescent="0.2">
      <c r="A294" s="122" t="s">
        <v>1151</v>
      </c>
      <c r="B294" s="122"/>
      <c r="C294" s="122"/>
      <c r="D294" s="122"/>
      <c r="E294" s="122"/>
    </row>
    <row r="295" spans="1:5" x14ac:dyDescent="0.2">
      <c r="A295" s="27" t="s">
        <v>371</v>
      </c>
      <c r="B295" s="59" t="s">
        <v>372</v>
      </c>
      <c r="C295" s="25" t="s">
        <v>179</v>
      </c>
      <c r="D295" s="26">
        <f>350+70</f>
        <v>420</v>
      </c>
      <c r="E295" s="32" t="s">
        <v>1310</v>
      </c>
    </row>
    <row r="296" spans="1:5" ht="30" customHeight="1" x14ac:dyDescent="0.2">
      <c r="A296" s="27" t="s">
        <v>373</v>
      </c>
      <c r="B296" s="59" t="s">
        <v>374</v>
      </c>
      <c r="C296" s="25" t="s">
        <v>179</v>
      </c>
      <c r="D296" s="26">
        <f>350+70</f>
        <v>420</v>
      </c>
      <c r="E296" s="32" t="s">
        <v>1310</v>
      </c>
    </row>
    <row r="297" spans="1:5" ht="15" customHeight="1" x14ac:dyDescent="0.2">
      <c r="A297" s="122" t="s">
        <v>1709</v>
      </c>
      <c r="B297" s="122"/>
      <c r="C297" s="122"/>
      <c r="D297" s="122"/>
      <c r="E297" s="122"/>
    </row>
    <row r="298" spans="1:5" ht="15" customHeight="1" x14ac:dyDescent="0.2">
      <c r="A298" s="27" t="s">
        <v>394</v>
      </c>
      <c r="B298" s="59" t="s">
        <v>393</v>
      </c>
      <c r="C298" s="25" t="s">
        <v>179</v>
      </c>
      <c r="D298" s="26">
        <f>350+70</f>
        <v>420</v>
      </c>
      <c r="E298" s="32" t="s">
        <v>1310</v>
      </c>
    </row>
    <row r="299" spans="1:5" ht="15" customHeight="1" x14ac:dyDescent="0.2">
      <c r="A299" s="27" t="s">
        <v>369</v>
      </c>
      <c r="B299" s="59" t="s">
        <v>370</v>
      </c>
      <c r="C299" s="25" t="s">
        <v>179</v>
      </c>
      <c r="D299" s="26">
        <f>350+70</f>
        <v>420</v>
      </c>
      <c r="E299" s="32" t="s">
        <v>1310</v>
      </c>
    </row>
    <row r="300" spans="1:5" ht="14.5" customHeight="1" x14ac:dyDescent="0.2">
      <c r="A300" s="122" t="s">
        <v>1152</v>
      </c>
      <c r="B300" s="122"/>
      <c r="C300" s="122"/>
      <c r="D300" s="122"/>
      <c r="E300" s="122"/>
    </row>
    <row r="301" spans="1:5" ht="40.25" customHeight="1" x14ac:dyDescent="0.2">
      <c r="A301" s="27" t="s">
        <v>521</v>
      </c>
      <c r="B301" s="59" t="s">
        <v>1399</v>
      </c>
      <c r="C301" s="25" t="s">
        <v>179</v>
      </c>
      <c r="D301" s="26">
        <f>720+130</f>
        <v>850</v>
      </c>
      <c r="E301" s="39" t="s">
        <v>1350</v>
      </c>
    </row>
    <row r="302" spans="1:5" ht="53.25" customHeight="1" x14ac:dyDescent="0.2">
      <c r="A302" s="27" t="s">
        <v>139</v>
      </c>
      <c r="B302" s="59" t="s">
        <v>1401</v>
      </c>
      <c r="C302" s="25" t="s">
        <v>179</v>
      </c>
      <c r="D302" s="26">
        <f t="shared" ref="D302:D311" si="4">720+130</f>
        <v>850</v>
      </c>
      <c r="E302" s="39" t="s">
        <v>1350</v>
      </c>
    </row>
    <row r="303" spans="1:5" ht="30" customHeight="1" x14ac:dyDescent="0.2">
      <c r="A303" s="27" t="s">
        <v>483</v>
      </c>
      <c r="B303" s="59" t="s">
        <v>1396</v>
      </c>
      <c r="C303" s="25" t="s">
        <v>179</v>
      </c>
      <c r="D303" s="26">
        <f t="shared" si="4"/>
        <v>850</v>
      </c>
      <c r="E303" s="39" t="s">
        <v>1350</v>
      </c>
    </row>
    <row r="304" spans="1:5" ht="26" x14ac:dyDescent="0.2">
      <c r="A304" s="27" t="s">
        <v>518</v>
      </c>
      <c r="B304" s="59" t="s">
        <v>1393</v>
      </c>
      <c r="C304" s="25" t="s">
        <v>179</v>
      </c>
      <c r="D304" s="26">
        <f t="shared" si="4"/>
        <v>850</v>
      </c>
      <c r="E304" s="39" t="s">
        <v>1350</v>
      </c>
    </row>
    <row r="305" spans="1:5" ht="30" customHeight="1" x14ac:dyDescent="0.2">
      <c r="A305" s="27" t="s">
        <v>517</v>
      </c>
      <c r="B305" s="59" t="s">
        <v>1395</v>
      </c>
      <c r="C305" s="25" t="s">
        <v>179</v>
      </c>
      <c r="D305" s="26">
        <f t="shared" si="4"/>
        <v>850</v>
      </c>
      <c r="E305" s="39" t="s">
        <v>1350</v>
      </c>
    </row>
    <row r="306" spans="1:5" ht="30" customHeight="1" x14ac:dyDescent="0.2">
      <c r="A306" s="27" t="s">
        <v>1445</v>
      </c>
      <c r="B306" s="59" t="s">
        <v>1400</v>
      </c>
      <c r="C306" s="25" t="s">
        <v>179</v>
      </c>
      <c r="D306" s="26">
        <f t="shared" si="4"/>
        <v>850</v>
      </c>
      <c r="E306" s="39" t="s">
        <v>1298</v>
      </c>
    </row>
    <row r="307" spans="1:5" ht="40.25" customHeight="1" x14ac:dyDescent="0.2">
      <c r="A307" s="27" t="s">
        <v>485</v>
      </c>
      <c r="B307" s="59" t="s">
        <v>1402</v>
      </c>
      <c r="C307" s="25" t="s">
        <v>179</v>
      </c>
      <c r="D307" s="26">
        <f t="shared" si="4"/>
        <v>850</v>
      </c>
      <c r="E307" s="39" t="s">
        <v>1350</v>
      </c>
    </row>
    <row r="308" spans="1:5" ht="40.25" customHeight="1" x14ac:dyDescent="0.2">
      <c r="A308" s="27" t="s">
        <v>520</v>
      </c>
      <c r="B308" s="59" t="s">
        <v>1397</v>
      </c>
      <c r="C308" s="25" t="s">
        <v>179</v>
      </c>
      <c r="D308" s="26">
        <f t="shared" si="4"/>
        <v>850</v>
      </c>
      <c r="E308" s="39" t="s">
        <v>1350</v>
      </c>
    </row>
    <row r="309" spans="1:5" ht="40.25" customHeight="1" x14ac:dyDescent="0.2">
      <c r="A309" s="27" t="s">
        <v>484</v>
      </c>
      <c r="B309" s="59" t="s">
        <v>1373</v>
      </c>
      <c r="C309" s="25" t="s">
        <v>179</v>
      </c>
      <c r="D309" s="26">
        <f t="shared" si="4"/>
        <v>850</v>
      </c>
      <c r="E309" s="39" t="s">
        <v>1350</v>
      </c>
    </row>
    <row r="310" spans="1:5" ht="40.25" customHeight="1" x14ac:dyDescent="0.2">
      <c r="A310" s="27" t="s">
        <v>1360</v>
      </c>
      <c r="B310" s="59" t="s">
        <v>1398</v>
      </c>
      <c r="C310" s="25" t="s">
        <v>179</v>
      </c>
      <c r="D310" s="26">
        <f t="shared" si="4"/>
        <v>850</v>
      </c>
      <c r="E310" s="35" t="s">
        <v>1258</v>
      </c>
    </row>
    <row r="311" spans="1:5" ht="26" x14ac:dyDescent="0.2">
      <c r="A311" s="27" t="s">
        <v>519</v>
      </c>
      <c r="B311" s="59" t="s">
        <v>1394</v>
      </c>
      <c r="C311" s="25" t="s">
        <v>179</v>
      </c>
      <c r="D311" s="26">
        <f t="shared" si="4"/>
        <v>850</v>
      </c>
      <c r="E311" s="39" t="s">
        <v>1350</v>
      </c>
    </row>
    <row r="312" spans="1:5" ht="65" x14ac:dyDescent="0.2">
      <c r="A312" s="27" t="s">
        <v>523</v>
      </c>
      <c r="B312" s="60" t="s">
        <v>1471</v>
      </c>
      <c r="C312" s="25" t="s">
        <v>522</v>
      </c>
      <c r="D312" s="26">
        <f>2800+700</f>
        <v>3500</v>
      </c>
      <c r="E312" s="35" t="s">
        <v>1311</v>
      </c>
    </row>
    <row r="313" spans="1:5" ht="65" x14ac:dyDescent="0.2">
      <c r="A313" s="27" t="s">
        <v>524</v>
      </c>
      <c r="B313" s="60" t="s">
        <v>1472</v>
      </c>
      <c r="C313" s="25" t="s">
        <v>522</v>
      </c>
      <c r="D313" s="26">
        <f t="shared" ref="D313:D315" si="5">2800+700</f>
        <v>3500</v>
      </c>
      <c r="E313" s="24" t="s">
        <v>1311</v>
      </c>
    </row>
    <row r="314" spans="1:5" ht="65" x14ac:dyDescent="0.2">
      <c r="A314" s="27" t="s">
        <v>525</v>
      </c>
      <c r="B314" s="60" t="s">
        <v>1473</v>
      </c>
      <c r="C314" s="25" t="s">
        <v>522</v>
      </c>
      <c r="D314" s="26">
        <f t="shared" si="5"/>
        <v>3500</v>
      </c>
      <c r="E314" s="24" t="s">
        <v>1311</v>
      </c>
    </row>
    <row r="315" spans="1:5" ht="91" x14ac:dyDescent="0.2">
      <c r="A315" s="27" t="s">
        <v>526</v>
      </c>
      <c r="B315" s="60" t="s">
        <v>1474</v>
      </c>
      <c r="C315" s="25" t="s">
        <v>522</v>
      </c>
      <c r="D315" s="26">
        <f t="shared" si="5"/>
        <v>3500</v>
      </c>
      <c r="E315" s="24" t="s">
        <v>1311</v>
      </c>
    </row>
    <row r="316" spans="1:5" ht="15" customHeight="1" x14ac:dyDescent="0.2">
      <c r="A316" s="153" t="s">
        <v>1205</v>
      </c>
      <c r="B316" s="153"/>
      <c r="C316" s="153"/>
      <c r="D316" s="153"/>
      <c r="E316" s="153"/>
    </row>
    <row r="317" spans="1:5" ht="208" x14ac:dyDescent="0.2">
      <c r="A317" s="27" t="s">
        <v>527</v>
      </c>
      <c r="B317" s="60" t="s">
        <v>1475</v>
      </c>
      <c r="C317" s="25" t="s">
        <v>179</v>
      </c>
      <c r="D317" s="26">
        <f>8300+1700</f>
        <v>10000</v>
      </c>
      <c r="E317" s="24" t="s">
        <v>880</v>
      </c>
    </row>
    <row r="318" spans="1:5" ht="15" customHeight="1" x14ac:dyDescent="0.2">
      <c r="A318" s="27" t="s">
        <v>1153</v>
      </c>
      <c r="B318" s="59" t="s">
        <v>1154</v>
      </c>
      <c r="C318" s="25" t="s">
        <v>179</v>
      </c>
      <c r="D318" s="26">
        <f>350+70</f>
        <v>420</v>
      </c>
      <c r="E318" s="24" t="s">
        <v>1298</v>
      </c>
    </row>
    <row r="319" spans="1:5" ht="15" customHeight="1" x14ac:dyDescent="0.2">
      <c r="A319" s="27" t="s">
        <v>1155</v>
      </c>
      <c r="B319" s="59" t="s">
        <v>1156</v>
      </c>
      <c r="C319" s="28" t="s">
        <v>179</v>
      </c>
      <c r="D319" s="26">
        <f t="shared" ref="D319:D350" si="6">350+70</f>
        <v>420</v>
      </c>
      <c r="E319" s="24" t="s">
        <v>1298</v>
      </c>
    </row>
    <row r="320" spans="1:5" s="5" customFormat="1" ht="15.75" customHeight="1" x14ac:dyDescent="0.2">
      <c r="A320" s="27" t="s">
        <v>1157</v>
      </c>
      <c r="B320" s="59" t="s">
        <v>1158</v>
      </c>
      <c r="C320" s="25" t="s">
        <v>179</v>
      </c>
      <c r="D320" s="26">
        <f t="shared" si="6"/>
        <v>420</v>
      </c>
      <c r="E320" s="24" t="s">
        <v>1298</v>
      </c>
    </row>
    <row r="321" spans="1:5" ht="15" customHeight="1" x14ac:dyDescent="0.2">
      <c r="A321" s="27" t="s">
        <v>1411</v>
      </c>
      <c r="B321" s="59" t="s">
        <v>1412</v>
      </c>
      <c r="C321" s="28" t="s">
        <v>179</v>
      </c>
      <c r="D321" s="26">
        <f t="shared" si="6"/>
        <v>420</v>
      </c>
      <c r="E321" s="24" t="s">
        <v>1298</v>
      </c>
    </row>
    <row r="322" spans="1:5" ht="15" customHeight="1" x14ac:dyDescent="0.2">
      <c r="A322" s="27" t="s">
        <v>1704</v>
      </c>
      <c r="B322" s="59" t="s">
        <v>1703</v>
      </c>
      <c r="C322" s="28" t="s">
        <v>179</v>
      </c>
      <c r="D322" s="26">
        <f t="shared" si="6"/>
        <v>420</v>
      </c>
      <c r="E322" s="24" t="s">
        <v>1298</v>
      </c>
    </row>
    <row r="323" spans="1:5" s="5" customFormat="1" x14ac:dyDescent="0.2">
      <c r="A323" s="27" t="s">
        <v>1159</v>
      </c>
      <c r="B323" s="59" t="s">
        <v>1160</v>
      </c>
      <c r="C323" s="28" t="s">
        <v>179</v>
      </c>
      <c r="D323" s="26">
        <f t="shared" si="6"/>
        <v>420</v>
      </c>
      <c r="E323" s="24" t="s">
        <v>1298</v>
      </c>
    </row>
    <row r="324" spans="1:5" s="5" customFormat="1" x14ac:dyDescent="0.2">
      <c r="A324" s="27" t="s">
        <v>1161</v>
      </c>
      <c r="B324" s="59" t="s">
        <v>1162</v>
      </c>
      <c r="C324" s="28" t="s">
        <v>179</v>
      </c>
      <c r="D324" s="26">
        <f t="shared" si="6"/>
        <v>420</v>
      </c>
      <c r="E324" s="24" t="s">
        <v>1298</v>
      </c>
    </row>
    <row r="325" spans="1:5" s="5" customFormat="1" x14ac:dyDescent="0.2">
      <c r="A325" s="27" t="s">
        <v>1374</v>
      </c>
      <c r="B325" s="59" t="s">
        <v>1375</v>
      </c>
      <c r="C325" s="28" t="s">
        <v>179</v>
      </c>
      <c r="D325" s="26">
        <f t="shared" si="6"/>
        <v>420</v>
      </c>
      <c r="E325" s="24" t="s">
        <v>1258</v>
      </c>
    </row>
    <row r="326" spans="1:5" s="5" customFormat="1" x14ac:dyDescent="0.2">
      <c r="A326" s="27" t="s">
        <v>1706</v>
      </c>
      <c r="B326" s="59" t="s">
        <v>1705</v>
      </c>
      <c r="C326" s="28" t="s">
        <v>179</v>
      </c>
      <c r="D326" s="26">
        <f t="shared" si="6"/>
        <v>420</v>
      </c>
      <c r="E326" s="24" t="s">
        <v>1298</v>
      </c>
    </row>
    <row r="327" spans="1:5" s="5" customFormat="1" x14ac:dyDescent="0.2">
      <c r="A327" s="27" t="s">
        <v>1163</v>
      </c>
      <c r="B327" s="59" t="s">
        <v>1164</v>
      </c>
      <c r="C327" s="25" t="s">
        <v>179</v>
      </c>
      <c r="D327" s="26">
        <f t="shared" si="6"/>
        <v>420</v>
      </c>
      <c r="E327" s="24" t="s">
        <v>1298</v>
      </c>
    </row>
    <row r="328" spans="1:5" s="5" customFormat="1" x14ac:dyDescent="0.2">
      <c r="A328" s="27" t="s">
        <v>1165</v>
      </c>
      <c r="B328" s="59" t="s">
        <v>1166</v>
      </c>
      <c r="C328" s="28" t="s">
        <v>179</v>
      </c>
      <c r="D328" s="26">
        <f t="shared" si="6"/>
        <v>420</v>
      </c>
      <c r="E328" s="24" t="s">
        <v>1298</v>
      </c>
    </row>
    <row r="329" spans="1:5" s="5" customFormat="1" x14ac:dyDescent="0.2">
      <c r="A329" s="27" t="s">
        <v>1269</v>
      </c>
      <c r="B329" s="59" t="s">
        <v>1270</v>
      </c>
      <c r="C329" s="28" t="s">
        <v>179</v>
      </c>
      <c r="D329" s="26">
        <f t="shared" si="6"/>
        <v>420</v>
      </c>
      <c r="E329" s="24" t="s">
        <v>1298</v>
      </c>
    </row>
    <row r="330" spans="1:5" s="5" customFormat="1" x14ac:dyDescent="0.2">
      <c r="A330" s="27" t="s">
        <v>1167</v>
      </c>
      <c r="B330" s="59" t="s">
        <v>1168</v>
      </c>
      <c r="C330" s="25" t="s">
        <v>179</v>
      </c>
      <c r="D330" s="26">
        <f t="shared" si="6"/>
        <v>420</v>
      </c>
      <c r="E330" s="24" t="s">
        <v>1298</v>
      </c>
    </row>
    <row r="331" spans="1:5" s="5" customFormat="1" x14ac:dyDescent="0.2">
      <c r="A331" s="27" t="s">
        <v>1436</v>
      </c>
      <c r="B331" s="59" t="s">
        <v>1437</v>
      </c>
      <c r="C331" s="25" t="s">
        <v>179</v>
      </c>
      <c r="D331" s="26">
        <f t="shared" si="6"/>
        <v>420</v>
      </c>
      <c r="E331" s="24" t="s">
        <v>1298</v>
      </c>
    </row>
    <row r="332" spans="1:5" s="5" customFormat="1" x14ac:dyDescent="0.2">
      <c r="A332" s="27" t="s">
        <v>1169</v>
      </c>
      <c r="B332" s="59" t="s">
        <v>1170</v>
      </c>
      <c r="C332" s="25" t="s">
        <v>179</v>
      </c>
      <c r="D332" s="26">
        <f t="shared" si="6"/>
        <v>420</v>
      </c>
      <c r="E332" s="24" t="s">
        <v>1298</v>
      </c>
    </row>
    <row r="333" spans="1:5" s="5" customFormat="1" x14ac:dyDescent="0.2">
      <c r="A333" s="27" t="s">
        <v>1171</v>
      </c>
      <c r="B333" s="59" t="s">
        <v>1172</v>
      </c>
      <c r="C333" s="28" t="s">
        <v>179</v>
      </c>
      <c r="D333" s="26">
        <f t="shared" si="6"/>
        <v>420</v>
      </c>
      <c r="E333" s="24" t="s">
        <v>1298</v>
      </c>
    </row>
    <row r="334" spans="1:5" s="5" customFormat="1" x14ac:dyDescent="0.2">
      <c r="A334" s="27" t="s">
        <v>1173</v>
      </c>
      <c r="B334" s="59" t="s">
        <v>1174</v>
      </c>
      <c r="C334" s="28" t="s">
        <v>179</v>
      </c>
      <c r="D334" s="26">
        <f t="shared" si="6"/>
        <v>420</v>
      </c>
      <c r="E334" s="24" t="s">
        <v>1298</v>
      </c>
    </row>
    <row r="335" spans="1:5" s="5" customFormat="1" x14ac:dyDescent="0.2">
      <c r="A335" s="27" t="s">
        <v>1271</v>
      </c>
      <c r="B335" s="59" t="s">
        <v>1272</v>
      </c>
      <c r="C335" s="28" t="s">
        <v>179</v>
      </c>
      <c r="D335" s="26">
        <f t="shared" si="6"/>
        <v>420</v>
      </c>
      <c r="E335" s="24" t="s">
        <v>1298</v>
      </c>
    </row>
    <row r="336" spans="1:5" s="5" customFormat="1" x14ac:dyDescent="0.2">
      <c r="A336" s="27" t="s">
        <v>1273</v>
      </c>
      <c r="B336" s="59" t="s">
        <v>1274</v>
      </c>
      <c r="C336" s="28" t="s">
        <v>179</v>
      </c>
      <c r="D336" s="26">
        <f t="shared" si="6"/>
        <v>420</v>
      </c>
      <c r="E336" s="24" t="s">
        <v>1298</v>
      </c>
    </row>
    <row r="337" spans="1:5" s="5" customFormat="1" x14ac:dyDescent="0.2">
      <c r="A337" s="27" t="s">
        <v>1175</v>
      </c>
      <c r="B337" s="59" t="s">
        <v>1176</v>
      </c>
      <c r="C337" s="25" t="s">
        <v>179</v>
      </c>
      <c r="D337" s="26">
        <f t="shared" si="6"/>
        <v>420</v>
      </c>
      <c r="E337" s="24" t="s">
        <v>1298</v>
      </c>
    </row>
    <row r="338" spans="1:5" s="5" customFormat="1" x14ac:dyDescent="0.2">
      <c r="A338" s="27" t="s">
        <v>1177</v>
      </c>
      <c r="B338" s="59" t="s">
        <v>1178</v>
      </c>
      <c r="C338" s="28" t="s">
        <v>179</v>
      </c>
      <c r="D338" s="26">
        <f t="shared" si="6"/>
        <v>420</v>
      </c>
      <c r="E338" s="24" t="s">
        <v>1298</v>
      </c>
    </row>
    <row r="339" spans="1:5" s="5" customFormat="1" x14ac:dyDescent="0.2">
      <c r="A339" s="27" t="s">
        <v>1179</v>
      </c>
      <c r="B339" s="59" t="s">
        <v>1180</v>
      </c>
      <c r="C339" s="28" t="s">
        <v>179</v>
      </c>
      <c r="D339" s="26">
        <f t="shared" si="6"/>
        <v>420</v>
      </c>
      <c r="E339" s="24" t="s">
        <v>1298</v>
      </c>
    </row>
    <row r="340" spans="1:5" s="5" customFormat="1" x14ac:dyDescent="0.2">
      <c r="A340" s="27" t="s">
        <v>1181</v>
      </c>
      <c r="B340" s="59" t="s">
        <v>1454</v>
      </c>
      <c r="C340" s="25" t="s">
        <v>179</v>
      </c>
      <c r="D340" s="26">
        <f t="shared" si="6"/>
        <v>420</v>
      </c>
      <c r="E340" s="24" t="s">
        <v>1298</v>
      </c>
    </row>
    <row r="341" spans="1:5" s="5" customFormat="1" ht="15" customHeight="1" x14ac:dyDescent="0.2">
      <c r="A341" s="27" t="s">
        <v>1376</v>
      </c>
      <c r="B341" s="59" t="s">
        <v>1377</v>
      </c>
      <c r="C341" s="25" t="s">
        <v>179</v>
      </c>
      <c r="D341" s="26">
        <f t="shared" si="6"/>
        <v>420</v>
      </c>
      <c r="E341" s="24" t="s">
        <v>1298</v>
      </c>
    </row>
    <row r="342" spans="1:5" s="5" customFormat="1" ht="15" customHeight="1" x14ac:dyDescent="0.2">
      <c r="A342" s="27" t="s">
        <v>1707</v>
      </c>
      <c r="B342" s="59" t="s">
        <v>1708</v>
      </c>
      <c r="C342" s="25" t="s">
        <v>179</v>
      </c>
      <c r="D342" s="26">
        <f t="shared" si="6"/>
        <v>420</v>
      </c>
      <c r="E342" s="24" t="s">
        <v>1298</v>
      </c>
    </row>
    <row r="343" spans="1:5" s="5" customFormat="1" ht="15" customHeight="1" x14ac:dyDescent="0.2">
      <c r="A343" s="27" t="s">
        <v>1378</v>
      </c>
      <c r="B343" s="59" t="s">
        <v>1379</v>
      </c>
      <c r="C343" s="25" t="s">
        <v>179</v>
      </c>
      <c r="D343" s="26">
        <f t="shared" si="6"/>
        <v>420</v>
      </c>
      <c r="E343" s="24" t="s">
        <v>1298</v>
      </c>
    </row>
    <row r="344" spans="1:5" s="5" customFormat="1" ht="15" customHeight="1" x14ac:dyDescent="0.2">
      <c r="A344" s="27" t="s">
        <v>1182</v>
      </c>
      <c r="B344" s="59" t="s">
        <v>1183</v>
      </c>
      <c r="C344" s="25" t="s">
        <v>179</v>
      </c>
      <c r="D344" s="26">
        <f t="shared" si="6"/>
        <v>420</v>
      </c>
      <c r="E344" s="24" t="s">
        <v>1298</v>
      </c>
    </row>
    <row r="345" spans="1:5" s="5" customFormat="1" ht="15" customHeight="1" x14ac:dyDescent="0.2">
      <c r="A345" s="27" t="s">
        <v>1380</v>
      </c>
      <c r="B345" s="59" t="s">
        <v>1381</v>
      </c>
      <c r="C345" s="25" t="s">
        <v>179</v>
      </c>
      <c r="D345" s="26">
        <f t="shared" si="6"/>
        <v>420</v>
      </c>
      <c r="E345" s="24" t="s">
        <v>1298</v>
      </c>
    </row>
    <row r="346" spans="1:5" s="5" customFormat="1" ht="15" customHeight="1" x14ac:dyDescent="0.2">
      <c r="A346" s="27" t="s">
        <v>1184</v>
      </c>
      <c r="B346" s="59" t="s">
        <v>1185</v>
      </c>
      <c r="C346" s="28" t="s">
        <v>179</v>
      </c>
      <c r="D346" s="26">
        <f t="shared" si="6"/>
        <v>420</v>
      </c>
      <c r="E346" s="24" t="s">
        <v>1298</v>
      </c>
    </row>
    <row r="347" spans="1:5" s="5" customFormat="1" ht="15" customHeight="1" x14ac:dyDescent="0.2">
      <c r="A347" s="27" t="s">
        <v>1186</v>
      </c>
      <c r="B347" s="59" t="s">
        <v>1187</v>
      </c>
      <c r="C347" s="28" t="s">
        <v>179</v>
      </c>
      <c r="D347" s="26">
        <f t="shared" si="6"/>
        <v>420</v>
      </c>
      <c r="E347" s="24" t="s">
        <v>1298</v>
      </c>
    </row>
    <row r="348" spans="1:5" s="5" customFormat="1" ht="15" customHeight="1" x14ac:dyDescent="0.2">
      <c r="A348" s="27" t="s">
        <v>1188</v>
      </c>
      <c r="B348" s="59" t="s">
        <v>1189</v>
      </c>
      <c r="C348" s="25" t="s">
        <v>179</v>
      </c>
      <c r="D348" s="26">
        <f t="shared" si="6"/>
        <v>420</v>
      </c>
      <c r="E348" s="24" t="s">
        <v>1298</v>
      </c>
    </row>
    <row r="349" spans="1:5" s="5" customFormat="1" ht="15" customHeight="1" x14ac:dyDescent="0.2">
      <c r="A349" s="27" t="s">
        <v>1190</v>
      </c>
      <c r="B349" s="59" t="s">
        <v>1191</v>
      </c>
      <c r="C349" s="28" t="s">
        <v>179</v>
      </c>
      <c r="D349" s="26">
        <f t="shared" si="6"/>
        <v>420</v>
      </c>
      <c r="E349" s="24" t="s">
        <v>1298</v>
      </c>
    </row>
    <row r="350" spans="1:5" s="5" customFormat="1" ht="15" customHeight="1" x14ac:dyDescent="0.2">
      <c r="A350" s="27" t="s">
        <v>1192</v>
      </c>
      <c r="B350" s="59" t="s">
        <v>1193</v>
      </c>
      <c r="C350" s="28" t="s">
        <v>179</v>
      </c>
      <c r="D350" s="26">
        <f t="shared" si="6"/>
        <v>420</v>
      </c>
      <c r="E350" s="24" t="s">
        <v>1298</v>
      </c>
    </row>
    <row r="351" spans="1:5" s="5" customFormat="1" ht="15" customHeight="1" x14ac:dyDescent="0.2">
      <c r="A351" s="122" t="s">
        <v>1194</v>
      </c>
      <c r="B351" s="122"/>
      <c r="C351" s="122"/>
      <c r="D351" s="122"/>
      <c r="E351" s="122"/>
    </row>
    <row r="352" spans="1:5" s="5" customFormat="1" x14ac:dyDescent="0.2">
      <c r="A352" s="27" t="s">
        <v>1195</v>
      </c>
      <c r="B352" s="59" t="s">
        <v>1196</v>
      </c>
      <c r="C352" s="25" t="s">
        <v>179</v>
      </c>
      <c r="D352" s="29">
        <f>350+70</f>
        <v>420</v>
      </c>
      <c r="E352" s="24" t="s">
        <v>1298</v>
      </c>
    </row>
    <row r="353" spans="1:5" s="5" customFormat="1" ht="26" x14ac:dyDescent="0.2">
      <c r="A353" s="27" t="s">
        <v>1197</v>
      </c>
      <c r="B353" s="59" t="s">
        <v>1198</v>
      </c>
      <c r="C353" s="25" t="s">
        <v>179</v>
      </c>
      <c r="D353" s="29">
        <f>350+70</f>
        <v>420</v>
      </c>
      <c r="E353" s="24" t="s">
        <v>1298</v>
      </c>
    </row>
    <row r="354" spans="1:5" s="5" customFormat="1" ht="14.5" customHeight="1" x14ac:dyDescent="0.2">
      <c r="A354" s="122" t="s">
        <v>1199</v>
      </c>
      <c r="B354" s="122"/>
      <c r="C354" s="122"/>
      <c r="D354" s="122"/>
      <c r="E354" s="122"/>
    </row>
    <row r="355" spans="1:5" s="9" customFormat="1" ht="14" customHeight="1" x14ac:dyDescent="0.2">
      <c r="A355" s="27" t="s">
        <v>1200</v>
      </c>
      <c r="B355" s="59" t="s">
        <v>1201</v>
      </c>
      <c r="C355" s="25" t="s">
        <v>179</v>
      </c>
      <c r="D355" s="29">
        <f>350+70</f>
        <v>420</v>
      </c>
      <c r="E355" s="24" t="s">
        <v>1298</v>
      </c>
    </row>
    <row r="356" spans="1:5" s="9" customFormat="1" ht="14" x14ac:dyDescent="0.2">
      <c r="A356" s="27" t="s">
        <v>1202</v>
      </c>
      <c r="B356" s="59" t="s">
        <v>1203</v>
      </c>
      <c r="C356" s="25" t="s">
        <v>179</v>
      </c>
      <c r="D356" s="29">
        <f>350+70</f>
        <v>420</v>
      </c>
      <c r="E356" s="24" t="s">
        <v>1298</v>
      </c>
    </row>
    <row r="357" spans="1:5" s="9" customFormat="1" ht="15" customHeight="1" x14ac:dyDescent="0.2">
      <c r="A357" s="136" t="s">
        <v>528</v>
      </c>
      <c r="B357" s="136"/>
      <c r="C357" s="136"/>
      <c r="D357" s="136"/>
      <c r="E357" s="136"/>
    </row>
    <row r="358" spans="1:5" s="9" customFormat="1" ht="15" customHeight="1" x14ac:dyDescent="0.2">
      <c r="A358" s="122" t="s">
        <v>529</v>
      </c>
      <c r="B358" s="122"/>
      <c r="C358" s="122"/>
      <c r="D358" s="122"/>
      <c r="E358" s="122"/>
    </row>
    <row r="359" spans="1:5" s="95" customFormat="1" ht="15" customHeight="1" x14ac:dyDescent="0.2">
      <c r="A359" s="91" t="s">
        <v>530</v>
      </c>
      <c r="B359" s="92" t="s">
        <v>531</v>
      </c>
      <c r="C359" s="93" t="s">
        <v>179</v>
      </c>
      <c r="D359" s="94">
        <f>260+60</f>
        <v>320</v>
      </c>
      <c r="E359" s="91" t="s">
        <v>1298</v>
      </c>
    </row>
    <row r="360" spans="1:5" s="9" customFormat="1" ht="15" customHeight="1" x14ac:dyDescent="0.2">
      <c r="A360" s="27" t="s">
        <v>532</v>
      </c>
      <c r="B360" s="59" t="s">
        <v>533</v>
      </c>
      <c r="C360" s="28" t="s">
        <v>179</v>
      </c>
      <c r="D360" s="26">
        <f>260+90</f>
        <v>350</v>
      </c>
      <c r="E360" s="24" t="s">
        <v>1298</v>
      </c>
    </row>
    <row r="361" spans="1:5" s="5" customFormat="1" ht="15" customHeight="1" x14ac:dyDescent="0.2">
      <c r="A361" s="27" t="s">
        <v>534</v>
      </c>
      <c r="B361" s="59" t="s">
        <v>535</v>
      </c>
      <c r="C361" s="28" t="s">
        <v>179</v>
      </c>
      <c r="D361" s="26">
        <f>260+90</f>
        <v>350</v>
      </c>
      <c r="E361" s="24" t="s">
        <v>1298</v>
      </c>
    </row>
    <row r="362" spans="1:5" s="5" customFormat="1" ht="15" customHeight="1" x14ac:dyDescent="0.2">
      <c r="A362" s="27" t="s">
        <v>536</v>
      </c>
      <c r="B362" s="59" t="s">
        <v>537</v>
      </c>
      <c r="C362" s="28" t="s">
        <v>179</v>
      </c>
      <c r="D362" s="26">
        <f>260+90</f>
        <v>350</v>
      </c>
      <c r="E362" s="24" t="s">
        <v>1298</v>
      </c>
    </row>
    <row r="363" spans="1:5" s="2" customFormat="1" ht="15" customHeight="1" x14ac:dyDescent="0.2">
      <c r="A363" s="27" t="s">
        <v>538</v>
      </c>
      <c r="B363" s="59" t="s">
        <v>539</v>
      </c>
      <c r="C363" s="28" t="s">
        <v>179</v>
      </c>
      <c r="D363" s="26">
        <f>260+90</f>
        <v>350</v>
      </c>
      <c r="E363" s="24" t="s">
        <v>1298</v>
      </c>
    </row>
    <row r="364" spans="1:5" s="2" customFormat="1" ht="15" customHeight="1" x14ac:dyDescent="0.2">
      <c r="A364" s="27" t="s">
        <v>540</v>
      </c>
      <c r="B364" s="59" t="s">
        <v>541</v>
      </c>
      <c r="C364" s="28" t="s">
        <v>179</v>
      </c>
      <c r="D364" s="26">
        <f>530+120</f>
        <v>650</v>
      </c>
      <c r="E364" s="24" t="s">
        <v>1298</v>
      </c>
    </row>
    <row r="365" spans="1:5" s="2" customFormat="1" ht="15" customHeight="1" x14ac:dyDescent="0.2">
      <c r="A365" s="27" t="s">
        <v>783</v>
      </c>
      <c r="B365" s="59" t="s">
        <v>431</v>
      </c>
      <c r="C365" s="28" t="s">
        <v>179</v>
      </c>
      <c r="D365" s="26">
        <f>550+50</f>
        <v>600</v>
      </c>
      <c r="E365" s="27" t="s">
        <v>1301</v>
      </c>
    </row>
    <row r="366" spans="1:5" s="2" customFormat="1" ht="14.5" customHeight="1" x14ac:dyDescent="0.2">
      <c r="A366" s="122" t="s">
        <v>542</v>
      </c>
      <c r="B366" s="122"/>
      <c r="C366" s="122"/>
      <c r="D366" s="122"/>
      <c r="E366" s="122"/>
    </row>
    <row r="367" spans="1:5" s="2" customFormat="1" x14ac:dyDescent="0.2">
      <c r="A367" s="27" t="s">
        <v>543</v>
      </c>
      <c r="B367" s="59" t="s">
        <v>544</v>
      </c>
      <c r="C367" s="25" t="s">
        <v>179</v>
      </c>
      <c r="D367" s="26">
        <f>680+220</f>
        <v>900</v>
      </c>
      <c r="E367" s="32" t="s">
        <v>879</v>
      </c>
    </row>
    <row r="368" spans="1:5" s="2" customFormat="1" ht="26" x14ac:dyDescent="0.2">
      <c r="A368" s="27" t="s">
        <v>545</v>
      </c>
      <c r="B368" s="59" t="s">
        <v>512</v>
      </c>
      <c r="C368" s="25" t="s">
        <v>179</v>
      </c>
      <c r="D368" s="26">
        <f>560+90</f>
        <v>650</v>
      </c>
      <c r="E368" s="24" t="s">
        <v>1298</v>
      </c>
    </row>
    <row r="369" spans="1:5" s="2" customFormat="1" x14ac:dyDescent="0.2">
      <c r="A369" s="27" t="s">
        <v>1658</v>
      </c>
      <c r="B369" s="59" t="s">
        <v>546</v>
      </c>
      <c r="C369" s="25" t="s">
        <v>179</v>
      </c>
      <c r="D369" s="26">
        <f>960+190</f>
        <v>1150</v>
      </c>
      <c r="E369" s="24" t="s">
        <v>1298</v>
      </c>
    </row>
    <row r="370" spans="1:5" ht="15" customHeight="1" x14ac:dyDescent="0.2">
      <c r="A370" s="27" t="s">
        <v>547</v>
      </c>
      <c r="B370" s="59" t="s">
        <v>548</v>
      </c>
      <c r="C370" s="25" t="s">
        <v>179</v>
      </c>
      <c r="D370" s="26">
        <f>280+70</f>
        <v>350</v>
      </c>
      <c r="E370" s="24" t="s">
        <v>1298</v>
      </c>
    </row>
    <row r="371" spans="1:5" ht="15" customHeight="1" x14ac:dyDescent="0.2">
      <c r="A371" s="27" t="s">
        <v>478</v>
      </c>
      <c r="B371" s="59" t="s">
        <v>477</v>
      </c>
      <c r="C371" s="25" t="s">
        <v>179</v>
      </c>
      <c r="D371" s="26">
        <f>900+300</f>
        <v>1200</v>
      </c>
      <c r="E371" s="24" t="s">
        <v>878</v>
      </c>
    </row>
    <row r="372" spans="1:5" ht="15" customHeight="1" x14ac:dyDescent="0.2">
      <c r="A372" s="27" t="s">
        <v>549</v>
      </c>
      <c r="B372" s="59" t="s">
        <v>550</v>
      </c>
      <c r="C372" s="25" t="s">
        <v>179</v>
      </c>
      <c r="D372" s="26">
        <f>1200+50</f>
        <v>1250</v>
      </c>
      <c r="E372" s="24" t="s">
        <v>875</v>
      </c>
    </row>
    <row r="373" spans="1:5" ht="15" customHeight="1" x14ac:dyDescent="0.2">
      <c r="A373" s="27" t="s">
        <v>551</v>
      </c>
      <c r="B373" s="59" t="s">
        <v>552</v>
      </c>
      <c r="C373" s="25" t="s">
        <v>179</v>
      </c>
      <c r="D373" s="26">
        <f>260+90</f>
        <v>350</v>
      </c>
      <c r="E373" s="24" t="s">
        <v>1298</v>
      </c>
    </row>
    <row r="374" spans="1:5" ht="15" customHeight="1" x14ac:dyDescent="0.2">
      <c r="A374" s="27" t="s">
        <v>553</v>
      </c>
      <c r="B374" s="59" t="s">
        <v>554</v>
      </c>
      <c r="C374" s="25" t="s">
        <v>555</v>
      </c>
      <c r="D374" s="26">
        <f>720+60</f>
        <v>780</v>
      </c>
      <c r="E374" s="32" t="s">
        <v>879</v>
      </c>
    </row>
    <row r="375" spans="1:5" ht="15" customHeight="1" x14ac:dyDescent="0.2">
      <c r="A375" s="27" t="s">
        <v>556</v>
      </c>
      <c r="B375" s="59" t="s">
        <v>557</v>
      </c>
      <c r="C375" s="25" t="s">
        <v>179</v>
      </c>
      <c r="D375" s="26">
        <f>260+90</f>
        <v>350</v>
      </c>
      <c r="E375" s="24" t="s">
        <v>1298</v>
      </c>
    </row>
    <row r="376" spans="1:5" ht="26" x14ac:dyDescent="0.2">
      <c r="A376" s="27" t="s">
        <v>558</v>
      </c>
      <c r="B376" s="59" t="s">
        <v>1109</v>
      </c>
      <c r="C376" s="25" t="s">
        <v>179</v>
      </c>
      <c r="D376" s="26">
        <f>260+90</f>
        <v>350</v>
      </c>
      <c r="E376" s="24" t="s">
        <v>1298</v>
      </c>
    </row>
    <row r="377" spans="1:5" x14ac:dyDescent="0.2">
      <c r="A377" s="27" t="s">
        <v>90</v>
      </c>
      <c r="B377" s="59" t="s">
        <v>1065</v>
      </c>
      <c r="C377" s="25" t="s">
        <v>179</v>
      </c>
      <c r="D377" s="26">
        <f>530+220</f>
        <v>750</v>
      </c>
      <c r="E377" s="24" t="s">
        <v>1311</v>
      </c>
    </row>
    <row r="378" spans="1:5" x14ac:dyDescent="0.2">
      <c r="A378" s="27" t="s">
        <v>559</v>
      </c>
      <c r="B378" s="59" t="s">
        <v>560</v>
      </c>
      <c r="C378" s="25" t="s">
        <v>179</v>
      </c>
      <c r="D378" s="26">
        <f>460+40</f>
        <v>500</v>
      </c>
      <c r="E378" s="27" t="s">
        <v>1349</v>
      </c>
    </row>
    <row r="379" spans="1:5" x14ac:dyDescent="0.2">
      <c r="A379" s="27" t="s">
        <v>561</v>
      </c>
      <c r="B379" s="59" t="s">
        <v>562</v>
      </c>
      <c r="C379" s="25" t="s">
        <v>179</v>
      </c>
      <c r="D379" s="26">
        <f>260+90</f>
        <v>350</v>
      </c>
      <c r="E379" s="24" t="s">
        <v>1298</v>
      </c>
    </row>
    <row r="380" spans="1:5" ht="36" x14ac:dyDescent="0.2">
      <c r="A380" s="27" t="s">
        <v>813</v>
      </c>
      <c r="B380" s="59" t="s">
        <v>563</v>
      </c>
      <c r="C380" s="25" t="s">
        <v>179</v>
      </c>
      <c r="D380" s="26">
        <f>500+350</f>
        <v>850</v>
      </c>
      <c r="E380" s="32" t="s">
        <v>1344</v>
      </c>
    </row>
    <row r="381" spans="1:5" ht="24" x14ac:dyDescent="0.2">
      <c r="A381" s="27" t="s">
        <v>564</v>
      </c>
      <c r="B381" s="59" t="s">
        <v>565</v>
      </c>
      <c r="C381" s="25" t="s">
        <v>179</v>
      </c>
      <c r="D381" s="26">
        <f>400+180</f>
        <v>580</v>
      </c>
      <c r="E381" s="32" t="s">
        <v>882</v>
      </c>
    </row>
    <row r="382" spans="1:5" ht="26" x14ac:dyDescent="0.2">
      <c r="A382" s="27" t="s">
        <v>566</v>
      </c>
      <c r="B382" s="59" t="s">
        <v>1098</v>
      </c>
      <c r="C382" s="25" t="s">
        <v>179</v>
      </c>
      <c r="D382" s="26">
        <f>540+170</f>
        <v>710</v>
      </c>
      <c r="E382" s="24" t="s">
        <v>1298</v>
      </c>
    </row>
    <row r="383" spans="1:5" x14ac:dyDescent="0.2">
      <c r="A383" s="27" t="s">
        <v>567</v>
      </c>
      <c r="B383" s="59" t="s">
        <v>568</v>
      </c>
      <c r="C383" s="25" t="s">
        <v>179</v>
      </c>
      <c r="D383" s="26">
        <f>260+90</f>
        <v>350</v>
      </c>
      <c r="E383" s="24" t="s">
        <v>1298</v>
      </c>
    </row>
    <row r="384" spans="1:5" ht="15" customHeight="1" x14ac:dyDescent="0.2">
      <c r="A384" s="27" t="s">
        <v>569</v>
      </c>
      <c r="B384" s="59" t="s">
        <v>1674</v>
      </c>
      <c r="C384" s="25" t="s">
        <v>179</v>
      </c>
      <c r="D384" s="26">
        <f>260+90</f>
        <v>350</v>
      </c>
      <c r="E384" s="24" t="s">
        <v>1298</v>
      </c>
    </row>
    <row r="385" spans="1:5" ht="15" customHeight="1" x14ac:dyDescent="0.2">
      <c r="A385" s="27" t="s">
        <v>570</v>
      </c>
      <c r="B385" s="59" t="s">
        <v>571</v>
      </c>
      <c r="C385" s="25" t="s">
        <v>179</v>
      </c>
      <c r="D385" s="26">
        <f>260+90</f>
        <v>350</v>
      </c>
      <c r="E385" s="24" t="s">
        <v>1298</v>
      </c>
    </row>
    <row r="386" spans="1:5" ht="26" x14ac:dyDescent="0.2">
      <c r="A386" s="27" t="s">
        <v>1652</v>
      </c>
      <c r="B386" s="59" t="s">
        <v>1110</v>
      </c>
      <c r="C386" s="25" t="s">
        <v>179</v>
      </c>
      <c r="D386" s="26">
        <f>1200+150</f>
        <v>1350</v>
      </c>
      <c r="E386" s="24" t="s">
        <v>1311</v>
      </c>
    </row>
    <row r="387" spans="1:5" ht="26" x14ac:dyDescent="0.2">
      <c r="A387" s="27" t="s">
        <v>1653</v>
      </c>
      <c r="B387" s="59" t="s">
        <v>1673</v>
      </c>
      <c r="C387" s="25" t="s">
        <v>179</v>
      </c>
      <c r="D387" s="26">
        <f>1000+350</f>
        <v>1350</v>
      </c>
      <c r="E387" s="24" t="s">
        <v>1311</v>
      </c>
    </row>
    <row r="388" spans="1:5" ht="14.5" customHeight="1" x14ac:dyDescent="0.2">
      <c r="A388" s="122" t="s">
        <v>433</v>
      </c>
      <c r="B388" s="122"/>
      <c r="C388" s="122"/>
      <c r="D388" s="122"/>
      <c r="E388" s="122"/>
    </row>
    <row r="389" spans="1:5" x14ac:dyDescent="0.2">
      <c r="A389" s="27" t="s">
        <v>574</v>
      </c>
      <c r="B389" s="59" t="s">
        <v>575</v>
      </c>
      <c r="C389" s="28" t="s">
        <v>179</v>
      </c>
      <c r="D389" s="26">
        <f>380+70</f>
        <v>450</v>
      </c>
      <c r="E389" s="24" t="s">
        <v>879</v>
      </c>
    </row>
    <row r="390" spans="1:5" ht="15" customHeight="1" x14ac:dyDescent="0.2">
      <c r="A390" s="27" t="s">
        <v>576</v>
      </c>
      <c r="B390" s="59" t="s">
        <v>577</v>
      </c>
      <c r="C390" s="28" t="s">
        <v>179</v>
      </c>
      <c r="D390" s="26">
        <f>520+130</f>
        <v>650</v>
      </c>
      <c r="E390" s="24" t="s">
        <v>1298</v>
      </c>
    </row>
    <row r="391" spans="1:5" ht="15" customHeight="1" x14ac:dyDescent="0.2">
      <c r="A391" s="27" t="s">
        <v>1275</v>
      </c>
      <c r="B391" s="59" t="s">
        <v>578</v>
      </c>
      <c r="C391" s="28" t="s">
        <v>179</v>
      </c>
      <c r="D391" s="26">
        <f>800+200</f>
        <v>1000</v>
      </c>
      <c r="E391" s="24" t="s">
        <v>1298</v>
      </c>
    </row>
    <row r="392" spans="1:5" ht="14.5" customHeight="1" x14ac:dyDescent="0.2">
      <c r="A392" s="27" t="s">
        <v>579</v>
      </c>
      <c r="B392" s="59" t="s">
        <v>1444</v>
      </c>
      <c r="C392" s="28" t="s">
        <v>179</v>
      </c>
      <c r="D392" s="26">
        <f>280+70</f>
        <v>350</v>
      </c>
      <c r="E392" s="24" t="s">
        <v>1298</v>
      </c>
    </row>
    <row r="393" spans="1:5" ht="14.5" customHeight="1" x14ac:dyDescent="0.2">
      <c r="A393" s="27" t="s">
        <v>1438</v>
      </c>
      <c r="B393" s="59" t="s">
        <v>1066</v>
      </c>
      <c r="C393" s="28" t="s">
        <v>179</v>
      </c>
      <c r="D393" s="26">
        <f>270+80</f>
        <v>350</v>
      </c>
      <c r="E393" s="24" t="s">
        <v>1298</v>
      </c>
    </row>
    <row r="394" spans="1:5" x14ac:dyDescent="0.2">
      <c r="A394" s="27" t="s">
        <v>1063</v>
      </c>
      <c r="B394" s="59" t="s">
        <v>1064</v>
      </c>
      <c r="C394" s="28" t="s">
        <v>179</v>
      </c>
      <c r="D394" s="26">
        <f>350+60</f>
        <v>410</v>
      </c>
      <c r="E394" s="24" t="s">
        <v>1298</v>
      </c>
    </row>
    <row r="395" spans="1:5" x14ac:dyDescent="0.2">
      <c r="A395" s="27" t="s">
        <v>1103</v>
      </c>
      <c r="B395" s="59" t="s">
        <v>1104</v>
      </c>
      <c r="C395" s="25" t="s">
        <v>179</v>
      </c>
      <c r="D395" s="26">
        <v>270</v>
      </c>
      <c r="E395" s="24" t="s">
        <v>1298</v>
      </c>
    </row>
    <row r="396" spans="1:5" ht="24" x14ac:dyDescent="0.2">
      <c r="A396" s="27" t="s">
        <v>1654</v>
      </c>
      <c r="B396" s="59" t="s">
        <v>156</v>
      </c>
      <c r="C396" s="28" t="s">
        <v>179</v>
      </c>
      <c r="D396" s="26">
        <f>1500+350</f>
        <v>1850</v>
      </c>
      <c r="E396" s="24" t="s">
        <v>1341</v>
      </c>
    </row>
    <row r="397" spans="1:5" x14ac:dyDescent="0.2">
      <c r="A397" s="27" t="s">
        <v>784</v>
      </c>
      <c r="B397" s="59" t="s">
        <v>434</v>
      </c>
      <c r="C397" s="28" t="s">
        <v>179</v>
      </c>
      <c r="D397" s="26">
        <f>750+150</f>
        <v>900</v>
      </c>
      <c r="E397" s="24" t="s">
        <v>1298</v>
      </c>
    </row>
    <row r="398" spans="1:5" s="9" customFormat="1" ht="24" x14ac:dyDescent="0.2">
      <c r="A398" s="27" t="s">
        <v>572</v>
      </c>
      <c r="B398" s="59" t="s">
        <v>573</v>
      </c>
      <c r="C398" s="28" t="s">
        <v>179</v>
      </c>
      <c r="D398" s="26">
        <f>270+200</f>
        <v>470</v>
      </c>
      <c r="E398" s="32" t="s">
        <v>1715</v>
      </c>
    </row>
    <row r="399" spans="1:5" s="9" customFormat="1" ht="14.5" customHeight="1" x14ac:dyDescent="0.2">
      <c r="A399" s="122" t="s">
        <v>580</v>
      </c>
      <c r="B399" s="122"/>
      <c r="C399" s="122"/>
      <c r="D399" s="122"/>
      <c r="E399" s="122"/>
    </row>
    <row r="400" spans="1:5" x14ac:dyDescent="0.2">
      <c r="A400" s="27" t="s">
        <v>581</v>
      </c>
      <c r="B400" s="59" t="s">
        <v>582</v>
      </c>
      <c r="C400" s="25" t="s">
        <v>179</v>
      </c>
      <c r="D400" s="26">
        <f>320+180</f>
        <v>500</v>
      </c>
      <c r="E400" s="24" t="s">
        <v>1298</v>
      </c>
    </row>
    <row r="401" spans="1:5" ht="26" x14ac:dyDescent="0.2">
      <c r="A401" s="27" t="s">
        <v>1385</v>
      </c>
      <c r="B401" s="59" t="s">
        <v>1099</v>
      </c>
      <c r="C401" s="25" t="s">
        <v>179</v>
      </c>
      <c r="D401" s="26">
        <f>415+285</f>
        <v>700</v>
      </c>
      <c r="E401" s="24" t="s">
        <v>1298</v>
      </c>
    </row>
    <row r="402" spans="1:5" ht="15" customHeight="1" x14ac:dyDescent="0.2">
      <c r="A402" s="27" t="s">
        <v>1276</v>
      </c>
      <c r="B402" s="59" t="s">
        <v>583</v>
      </c>
      <c r="C402" s="25" t="s">
        <v>179</v>
      </c>
      <c r="D402" s="26">
        <f>330+160</f>
        <v>490</v>
      </c>
      <c r="E402" s="24" t="s">
        <v>1298</v>
      </c>
    </row>
    <row r="403" spans="1:5" ht="13.25" customHeight="1" x14ac:dyDescent="0.2">
      <c r="A403" s="122" t="s">
        <v>490</v>
      </c>
      <c r="B403" s="122"/>
      <c r="C403" s="122"/>
      <c r="D403" s="122"/>
      <c r="E403" s="122"/>
    </row>
    <row r="404" spans="1:5" ht="14.5" customHeight="1" x14ac:dyDescent="0.2">
      <c r="A404" s="27" t="s">
        <v>278</v>
      </c>
      <c r="B404" s="59" t="s">
        <v>491</v>
      </c>
      <c r="C404" s="25" t="s">
        <v>179</v>
      </c>
      <c r="D404" s="26">
        <f>720+100</f>
        <v>820</v>
      </c>
      <c r="E404" s="24" t="s">
        <v>873</v>
      </c>
    </row>
    <row r="405" spans="1:5" s="9" customFormat="1" ht="14.5" customHeight="1" x14ac:dyDescent="0.2">
      <c r="A405" s="122" t="s">
        <v>1337</v>
      </c>
      <c r="B405" s="122"/>
      <c r="C405" s="122"/>
      <c r="D405" s="122"/>
      <c r="E405" s="122"/>
    </row>
    <row r="406" spans="1:5" ht="12.75" customHeight="1" x14ac:dyDescent="0.2">
      <c r="A406" s="27" t="s">
        <v>1277</v>
      </c>
      <c r="B406" s="59" t="s">
        <v>584</v>
      </c>
      <c r="C406" s="25" t="s">
        <v>179</v>
      </c>
      <c r="D406" s="26">
        <f>730+200</f>
        <v>930</v>
      </c>
      <c r="E406" s="24" t="s">
        <v>1298</v>
      </c>
    </row>
    <row r="407" spans="1:5" ht="12.5" customHeight="1" x14ac:dyDescent="0.2">
      <c r="A407" s="122" t="s">
        <v>585</v>
      </c>
      <c r="B407" s="122"/>
      <c r="C407" s="122"/>
      <c r="D407" s="122"/>
      <c r="E407" s="122"/>
    </row>
    <row r="408" spans="1:5" ht="14.5" customHeight="1" x14ac:dyDescent="0.2">
      <c r="A408" s="27" t="s">
        <v>599</v>
      </c>
      <c r="B408" s="59" t="s">
        <v>137</v>
      </c>
      <c r="C408" s="28" t="s">
        <v>179</v>
      </c>
      <c r="D408" s="28">
        <f>1300+250</f>
        <v>1550</v>
      </c>
      <c r="E408" s="24" t="s">
        <v>1298</v>
      </c>
    </row>
    <row r="409" spans="1:5" x14ac:dyDescent="0.2">
      <c r="A409" s="27" t="s">
        <v>275</v>
      </c>
      <c r="B409" s="59" t="s">
        <v>136</v>
      </c>
      <c r="C409" s="28" t="s">
        <v>179</v>
      </c>
      <c r="D409" s="28">
        <f>850+50</f>
        <v>900</v>
      </c>
      <c r="E409" s="27" t="s">
        <v>873</v>
      </c>
    </row>
    <row r="410" spans="1:5" ht="15.75" customHeight="1" x14ac:dyDescent="0.2">
      <c r="A410" s="27" t="s">
        <v>586</v>
      </c>
      <c r="B410" s="59" t="s">
        <v>587</v>
      </c>
      <c r="C410" s="28" t="s">
        <v>179</v>
      </c>
      <c r="D410" s="26">
        <f>380+200</f>
        <v>580</v>
      </c>
      <c r="E410" s="24" t="s">
        <v>1298</v>
      </c>
    </row>
    <row r="411" spans="1:5" ht="14.25" customHeight="1" x14ac:dyDescent="0.2">
      <c r="A411" s="27" t="s">
        <v>138</v>
      </c>
      <c r="B411" s="59" t="s">
        <v>110</v>
      </c>
      <c r="C411" s="28" t="s">
        <v>179</v>
      </c>
      <c r="D411" s="26">
        <f>750+150</f>
        <v>900</v>
      </c>
      <c r="E411" s="24" t="s">
        <v>1298</v>
      </c>
    </row>
    <row r="412" spans="1:5" ht="14.5" customHeight="1" x14ac:dyDescent="0.2">
      <c r="A412" s="122" t="s">
        <v>588</v>
      </c>
      <c r="B412" s="122"/>
      <c r="C412" s="122"/>
      <c r="D412" s="122"/>
      <c r="E412" s="122"/>
    </row>
    <row r="413" spans="1:5" ht="24" x14ac:dyDescent="0.2">
      <c r="A413" s="27" t="s">
        <v>1383</v>
      </c>
      <c r="B413" s="59" t="s">
        <v>589</v>
      </c>
      <c r="C413" s="28" t="s">
        <v>179</v>
      </c>
      <c r="D413" s="26">
        <v>380</v>
      </c>
      <c r="E413" s="24" t="s">
        <v>881</v>
      </c>
    </row>
    <row r="414" spans="1:5" ht="14.25" customHeight="1" x14ac:dyDescent="0.2">
      <c r="A414" s="27" t="s">
        <v>1278</v>
      </c>
      <c r="B414" s="59" t="s">
        <v>590</v>
      </c>
      <c r="C414" s="28" t="s">
        <v>179</v>
      </c>
      <c r="D414" s="26">
        <f>840+200</f>
        <v>1040</v>
      </c>
      <c r="E414" s="24" t="s">
        <v>1298</v>
      </c>
    </row>
    <row r="415" spans="1:5" ht="15" customHeight="1" x14ac:dyDescent="0.2">
      <c r="A415" s="148" t="s">
        <v>591</v>
      </c>
      <c r="B415" s="148"/>
      <c r="C415" s="148"/>
      <c r="D415" s="148"/>
      <c r="E415" s="148"/>
    </row>
    <row r="416" spans="1:5" ht="15" customHeight="1" x14ac:dyDescent="0.2">
      <c r="A416" s="136" t="s">
        <v>592</v>
      </c>
      <c r="B416" s="136"/>
      <c r="C416" s="136"/>
      <c r="D416" s="136"/>
      <c r="E416" s="136"/>
    </row>
    <row r="417" spans="1:5" s="5" customFormat="1" ht="15" customHeight="1" x14ac:dyDescent="0.2">
      <c r="A417" s="122" t="s">
        <v>1067</v>
      </c>
      <c r="B417" s="122"/>
      <c r="C417" s="122"/>
      <c r="D417" s="122"/>
      <c r="E417" s="122"/>
    </row>
    <row r="418" spans="1:5" x14ac:dyDescent="0.2">
      <c r="A418" s="27" t="s">
        <v>594</v>
      </c>
      <c r="B418" s="59" t="s">
        <v>595</v>
      </c>
      <c r="C418" s="25" t="s">
        <v>184</v>
      </c>
      <c r="D418" s="26">
        <f>720+100</f>
        <v>820</v>
      </c>
      <c r="E418" s="24" t="s">
        <v>1312</v>
      </c>
    </row>
    <row r="419" spans="1:5" s="16" customFormat="1" ht="26" x14ac:dyDescent="0.2">
      <c r="A419" s="27" t="s">
        <v>474</v>
      </c>
      <c r="B419" s="33" t="s">
        <v>1751</v>
      </c>
      <c r="C419" s="25" t="s">
        <v>184</v>
      </c>
      <c r="D419" s="26">
        <f>370+50</f>
        <v>420</v>
      </c>
      <c r="E419" s="24" t="s">
        <v>1298</v>
      </c>
    </row>
    <row r="420" spans="1:5" s="15" customFormat="1" ht="26" x14ac:dyDescent="0.2">
      <c r="A420" s="27" t="s">
        <v>507</v>
      </c>
      <c r="B420" s="59" t="s">
        <v>502</v>
      </c>
      <c r="C420" s="25" t="s">
        <v>184</v>
      </c>
      <c r="D420" s="29">
        <f>770+130</f>
        <v>900</v>
      </c>
      <c r="E420" s="24" t="s">
        <v>1298</v>
      </c>
    </row>
    <row r="421" spans="1:5" ht="36" x14ac:dyDescent="0.2">
      <c r="A421" s="27" t="s">
        <v>1068</v>
      </c>
      <c r="B421" s="33" t="s">
        <v>1069</v>
      </c>
      <c r="C421" s="25" t="s">
        <v>184</v>
      </c>
      <c r="D421" s="26">
        <f>1150</f>
        <v>1150</v>
      </c>
      <c r="E421" s="24" t="s">
        <v>1665</v>
      </c>
    </row>
    <row r="422" spans="1:5" s="9" customFormat="1" ht="91" x14ac:dyDescent="0.2">
      <c r="A422" s="27" t="s">
        <v>1068</v>
      </c>
      <c r="B422" s="33" t="s">
        <v>1069</v>
      </c>
      <c r="C422" s="25" t="s">
        <v>184</v>
      </c>
      <c r="D422" s="26" t="s">
        <v>1204</v>
      </c>
      <c r="E422" s="24" t="s">
        <v>1665</v>
      </c>
    </row>
    <row r="423" spans="1:5" s="9" customFormat="1" ht="14.5" customHeight="1" x14ac:dyDescent="0.2">
      <c r="A423" s="122" t="s">
        <v>439</v>
      </c>
      <c r="B423" s="122"/>
      <c r="C423" s="122"/>
      <c r="D423" s="122"/>
      <c r="E423" s="122"/>
    </row>
    <row r="424" spans="1:5" s="9" customFormat="1" ht="26.5" customHeight="1" x14ac:dyDescent="0.2">
      <c r="A424" s="27" t="s">
        <v>276</v>
      </c>
      <c r="B424" s="59" t="s">
        <v>426</v>
      </c>
      <c r="C424" s="25" t="s">
        <v>522</v>
      </c>
      <c r="D424" s="26">
        <f>440+200</f>
        <v>640</v>
      </c>
      <c r="E424" s="24" t="s">
        <v>881</v>
      </c>
    </row>
    <row r="425" spans="1:5" s="9" customFormat="1" ht="24" x14ac:dyDescent="0.2">
      <c r="A425" s="27" t="s">
        <v>277</v>
      </c>
      <c r="B425" s="59" t="s">
        <v>427</v>
      </c>
      <c r="C425" s="25" t="s">
        <v>522</v>
      </c>
      <c r="D425" s="26">
        <f>470+230</f>
        <v>700</v>
      </c>
      <c r="E425" s="24" t="s">
        <v>881</v>
      </c>
    </row>
    <row r="426" spans="1:5" s="9" customFormat="1" ht="15" customHeight="1" x14ac:dyDescent="0.2">
      <c r="A426" s="122" t="s">
        <v>501</v>
      </c>
      <c r="B426" s="122"/>
      <c r="C426" s="122"/>
      <c r="D426" s="122"/>
      <c r="E426" s="122"/>
    </row>
    <row r="427" spans="1:5" s="14" customFormat="1" ht="15" customHeight="1" x14ac:dyDescent="0.2">
      <c r="A427" s="27" t="s">
        <v>1279</v>
      </c>
      <c r="B427" s="59" t="s">
        <v>593</v>
      </c>
      <c r="C427" s="25" t="s">
        <v>184</v>
      </c>
      <c r="D427" s="26">
        <f>150+100</f>
        <v>250</v>
      </c>
      <c r="E427" s="24" t="s">
        <v>1313</v>
      </c>
    </row>
    <row r="428" spans="1:5" ht="15" customHeight="1" x14ac:dyDescent="0.2">
      <c r="A428" s="122" t="s">
        <v>446</v>
      </c>
      <c r="B428" s="122"/>
      <c r="C428" s="122"/>
      <c r="D428" s="122"/>
      <c r="E428" s="122"/>
    </row>
    <row r="429" spans="1:5" ht="26" x14ac:dyDescent="0.2">
      <c r="A429" s="27" t="s">
        <v>1280</v>
      </c>
      <c r="B429" s="59" t="s">
        <v>688</v>
      </c>
      <c r="C429" s="25" t="s">
        <v>522</v>
      </c>
      <c r="D429" s="26">
        <f>190+210</f>
        <v>400</v>
      </c>
      <c r="E429" s="24" t="s">
        <v>1298</v>
      </c>
    </row>
    <row r="430" spans="1:5" ht="26" x14ac:dyDescent="0.2">
      <c r="A430" s="27" t="s">
        <v>657</v>
      </c>
      <c r="B430" s="59" t="s">
        <v>689</v>
      </c>
      <c r="C430" s="25" t="s">
        <v>184</v>
      </c>
      <c r="D430" s="26">
        <f>190+210</f>
        <v>400</v>
      </c>
      <c r="E430" s="25" t="s">
        <v>1258</v>
      </c>
    </row>
    <row r="431" spans="1:5" s="100" customFormat="1" ht="26" x14ac:dyDescent="0.2">
      <c r="A431" s="96" t="s">
        <v>658</v>
      </c>
      <c r="B431" s="97" t="s">
        <v>690</v>
      </c>
      <c r="C431" s="98" t="s">
        <v>179</v>
      </c>
      <c r="D431" s="99">
        <v>360</v>
      </c>
      <c r="E431" s="96" t="s">
        <v>874</v>
      </c>
    </row>
    <row r="432" spans="1:5" s="14" customFormat="1" ht="26" x14ac:dyDescent="0.2">
      <c r="A432" s="27" t="s">
        <v>659</v>
      </c>
      <c r="B432" s="59" t="s">
        <v>691</v>
      </c>
      <c r="C432" s="25" t="s">
        <v>184</v>
      </c>
      <c r="D432" s="26">
        <f>150+100</f>
        <v>250</v>
      </c>
      <c r="E432" s="24" t="s">
        <v>1310</v>
      </c>
    </row>
    <row r="433" spans="1:5" s="14" customFormat="1" ht="26" x14ac:dyDescent="0.2">
      <c r="A433" s="71" t="s">
        <v>1754</v>
      </c>
      <c r="B433" s="72" t="s">
        <v>1755</v>
      </c>
      <c r="C433" s="73" t="s">
        <v>179</v>
      </c>
      <c r="D433" s="74">
        <f>280+70</f>
        <v>350</v>
      </c>
      <c r="E433" s="85" t="s">
        <v>1310</v>
      </c>
    </row>
    <row r="434" spans="1:5" ht="39" x14ac:dyDescent="0.2">
      <c r="A434" s="73" t="s">
        <v>1756</v>
      </c>
      <c r="B434" s="72" t="s">
        <v>1757</v>
      </c>
      <c r="C434" s="73" t="s">
        <v>179</v>
      </c>
      <c r="D434" s="74">
        <v>310</v>
      </c>
      <c r="E434" s="85" t="s">
        <v>1310</v>
      </c>
    </row>
    <row r="435" spans="1:5" ht="26" x14ac:dyDescent="0.2">
      <c r="A435" s="27" t="s">
        <v>1719</v>
      </c>
      <c r="B435" s="59" t="s">
        <v>420</v>
      </c>
      <c r="C435" s="25" t="s">
        <v>184</v>
      </c>
      <c r="D435" s="26">
        <f>290+160</f>
        <v>450</v>
      </c>
      <c r="E435" s="27" t="s">
        <v>882</v>
      </c>
    </row>
    <row r="436" spans="1:5" x14ac:dyDescent="0.2">
      <c r="A436" s="27" t="s">
        <v>660</v>
      </c>
      <c r="B436" s="59" t="s">
        <v>419</v>
      </c>
      <c r="C436" s="25" t="s">
        <v>522</v>
      </c>
      <c r="D436" s="26">
        <f>380+120</f>
        <v>500</v>
      </c>
      <c r="E436" s="25" t="s">
        <v>1403</v>
      </c>
    </row>
    <row r="437" spans="1:5" x14ac:dyDescent="0.2">
      <c r="A437" s="27" t="s">
        <v>661</v>
      </c>
      <c r="B437" s="59" t="s">
        <v>421</v>
      </c>
      <c r="C437" s="25" t="s">
        <v>184</v>
      </c>
      <c r="D437" s="26">
        <f>150+100</f>
        <v>250</v>
      </c>
      <c r="E437" s="24" t="s">
        <v>1310</v>
      </c>
    </row>
    <row r="438" spans="1:5" s="5" customFormat="1" x14ac:dyDescent="0.2">
      <c r="A438" s="67" t="s">
        <v>1758</v>
      </c>
      <c r="B438" s="75" t="s">
        <v>1759</v>
      </c>
      <c r="C438" s="70" t="s">
        <v>179</v>
      </c>
      <c r="D438" s="74">
        <v>300</v>
      </c>
      <c r="E438" s="24" t="s">
        <v>1310</v>
      </c>
    </row>
    <row r="439" spans="1:5" ht="42" x14ac:dyDescent="0.2">
      <c r="A439" s="67" t="s">
        <v>1760</v>
      </c>
      <c r="B439" s="68" t="s">
        <v>1761</v>
      </c>
      <c r="C439" s="67" t="s">
        <v>179</v>
      </c>
      <c r="D439" s="74">
        <v>350</v>
      </c>
      <c r="E439" s="24" t="s">
        <v>1310</v>
      </c>
    </row>
    <row r="440" spans="1:5" x14ac:dyDescent="0.2">
      <c r="A440" s="27" t="s">
        <v>1421</v>
      </c>
      <c r="B440" s="59" t="s">
        <v>1422</v>
      </c>
      <c r="C440" s="28" t="s">
        <v>184</v>
      </c>
      <c r="D440" s="30">
        <f>250+50</f>
        <v>300</v>
      </c>
      <c r="E440" s="27" t="s">
        <v>1415</v>
      </c>
    </row>
    <row r="441" spans="1:5" x14ac:dyDescent="0.2">
      <c r="A441" s="27" t="s">
        <v>1413</v>
      </c>
      <c r="B441" s="59" t="s">
        <v>1414</v>
      </c>
      <c r="C441" s="28" t="s">
        <v>184</v>
      </c>
      <c r="D441" s="30">
        <f>250+50</f>
        <v>300</v>
      </c>
      <c r="E441" s="27" t="s">
        <v>1415</v>
      </c>
    </row>
    <row r="442" spans="1:5" s="5" customFormat="1" x14ac:dyDescent="0.2">
      <c r="A442" s="124" t="s">
        <v>1734</v>
      </c>
      <c r="B442" s="159"/>
      <c r="C442" s="159"/>
      <c r="D442" s="159"/>
      <c r="E442" s="160"/>
    </row>
    <row r="443" spans="1:5" s="5" customFormat="1" ht="39" x14ac:dyDescent="0.2">
      <c r="A443" s="86" t="s">
        <v>1737</v>
      </c>
      <c r="B443" s="87" t="s">
        <v>1735</v>
      </c>
      <c r="C443" s="71" t="s">
        <v>184</v>
      </c>
      <c r="D443" s="88">
        <v>440</v>
      </c>
      <c r="E443" s="86" t="s">
        <v>882</v>
      </c>
    </row>
    <row r="444" spans="1:5" s="5" customFormat="1" ht="39" x14ac:dyDescent="0.2">
      <c r="A444" s="86" t="s">
        <v>1738</v>
      </c>
      <c r="B444" s="87" t="s">
        <v>1736</v>
      </c>
      <c r="C444" s="71" t="s">
        <v>179</v>
      </c>
      <c r="D444" s="88">
        <v>900</v>
      </c>
      <c r="E444" s="86" t="s">
        <v>882</v>
      </c>
    </row>
    <row r="445" spans="1:5" ht="15" customHeight="1" x14ac:dyDescent="0.2">
      <c r="A445" s="122" t="s">
        <v>440</v>
      </c>
      <c r="B445" s="122"/>
      <c r="C445" s="122"/>
      <c r="D445" s="122"/>
      <c r="E445" s="122"/>
    </row>
    <row r="446" spans="1:5" s="5" customFormat="1" ht="15" customHeight="1" x14ac:dyDescent="0.2">
      <c r="A446" s="27" t="s">
        <v>600</v>
      </c>
      <c r="B446" s="59" t="s">
        <v>601</v>
      </c>
      <c r="C446" s="25" t="s">
        <v>184</v>
      </c>
      <c r="D446" s="26">
        <f>380+170</f>
        <v>550</v>
      </c>
      <c r="E446" s="24" t="s">
        <v>1298</v>
      </c>
    </row>
    <row r="447" spans="1:5" s="5" customFormat="1" ht="15" customHeight="1" x14ac:dyDescent="0.2">
      <c r="A447" s="27" t="s">
        <v>602</v>
      </c>
      <c r="B447" s="59" t="s">
        <v>603</v>
      </c>
      <c r="C447" s="25" t="s">
        <v>184</v>
      </c>
      <c r="D447" s="26">
        <f>380+200</f>
        <v>580</v>
      </c>
      <c r="E447" s="24" t="s">
        <v>1298</v>
      </c>
    </row>
    <row r="448" spans="1:5" s="2" customFormat="1" ht="15" customHeight="1" x14ac:dyDescent="0.2">
      <c r="A448" s="27" t="s">
        <v>604</v>
      </c>
      <c r="B448" s="59" t="s">
        <v>605</v>
      </c>
      <c r="C448" s="25" t="s">
        <v>184</v>
      </c>
      <c r="D448" s="26">
        <f>640+50</f>
        <v>690</v>
      </c>
      <c r="E448" s="24" t="s">
        <v>1302</v>
      </c>
    </row>
    <row r="449" spans="1:5" s="14" customFormat="1" ht="15" customHeight="1" x14ac:dyDescent="0.2">
      <c r="A449" s="143" t="s">
        <v>441</v>
      </c>
      <c r="B449" s="143"/>
      <c r="C449" s="143"/>
      <c r="D449" s="143"/>
      <c r="E449" s="143"/>
    </row>
    <row r="450" spans="1:5" ht="15" customHeight="1" x14ac:dyDescent="0.2">
      <c r="A450" s="27" t="s">
        <v>1281</v>
      </c>
      <c r="B450" s="59" t="s">
        <v>606</v>
      </c>
      <c r="C450" s="28" t="s">
        <v>184</v>
      </c>
      <c r="D450" s="26">
        <f>170+60</f>
        <v>230</v>
      </c>
      <c r="E450" s="24" t="s">
        <v>1298</v>
      </c>
    </row>
    <row r="451" spans="1:5" ht="15" customHeight="1" x14ac:dyDescent="0.2">
      <c r="A451" s="86" t="s">
        <v>1794</v>
      </c>
      <c r="B451" s="59" t="s">
        <v>607</v>
      </c>
      <c r="C451" s="28" t="s">
        <v>179</v>
      </c>
      <c r="D451" s="26">
        <f>930+370</f>
        <v>1300</v>
      </c>
      <c r="E451" s="24" t="s">
        <v>1298</v>
      </c>
    </row>
    <row r="452" spans="1:5" ht="30" customHeight="1" x14ac:dyDescent="0.2">
      <c r="A452" s="27" t="s">
        <v>856</v>
      </c>
      <c r="B452" s="33" t="s">
        <v>608</v>
      </c>
      <c r="C452" s="28" t="s">
        <v>184</v>
      </c>
      <c r="D452" s="26">
        <f>330+270</f>
        <v>600</v>
      </c>
      <c r="E452" s="27" t="s">
        <v>1343</v>
      </c>
    </row>
    <row r="453" spans="1:5" s="14" customFormat="1" ht="13.5" customHeight="1" x14ac:dyDescent="0.2">
      <c r="A453" s="27" t="s">
        <v>1446</v>
      </c>
      <c r="B453" s="59" t="s">
        <v>609</v>
      </c>
      <c r="C453" s="28" t="s">
        <v>179</v>
      </c>
      <c r="D453" s="26">
        <f>320+180</f>
        <v>500</v>
      </c>
      <c r="E453" s="24" t="s">
        <v>1298</v>
      </c>
    </row>
    <row r="454" spans="1:5" ht="36" x14ac:dyDescent="0.2">
      <c r="A454" s="27" t="s">
        <v>610</v>
      </c>
      <c r="B454" s="59" t="s">
        <v>611</v>
      </c>
      <c r="C454" s="28" t="s">
        <v>184</v>
      </c>
      <c r="D454" s="26">
        <f>300+100</f>
        <v>400</v>
      </c>
      <c r="E454" s="27" t="s">
        <v>1344</v>
      </c>
    </row>
    <row r="455" spans="1:5" ht="36" x14ac:dyDescent="0.2">
      <c r="A455" s="27" t="s">
        <v>612</v>
      </c>
      <c r="B455" s="59" t="s">
        <v>613</v>
      </c>
      <c r="C455" s="28" t="s">
        <v>179</v>
      </c>
      <c r="D455" s="26">
        <f>1050+350</f>
        <v>1400</v>
      </c>
      <c r="E455" s="27" t="s">
        <v>1344</v>
      </c>
    </row>
    <row r="456" spans="1:5" ht="15" customHeight="1" x14ac:dyDescent="0.2">
      <c r="A456" s="122" t="s">
        <v>442</v>
      </c>
      <c r="B456" s="122"/>
      <c r="C456" s="122"/>
      <c r="D456" s="122"/>
      <c r="E456" s="122"/>
    </row>
    <row r="457" spans="1:5" x14ac:dyDescent="0.2">
      <c r="A457" s="27" t="s">
        <v>1282</v>
      </c>
      <c r="B457" s="59" t="s">
        <v>614</v>
      </c>
      <c r="C457" s="28" t="s">
        <v>184</v>
      </c>
      <c r="D457" s="26">
        <f>300+100</f>
        <v>400</v>
      </c>
      <c r="E457" s="27" t="s">
        <v>1314</v>
      </c>
    </row>
    <row r="458" spans="1:5" ht="36" x14ac:dyDescent="0.2">
      <c r="A458" s="27" t="s">
        <v>615</v>
      </c>
      <c r="B458" s="59" t="s">
        <v>131</v>
      </c>
      <c r="C458" s="28" t="s">
        <v>184</v>
      </c>
      <c r="D458" s="26">
        <f>330+270</f>
        <v>600</v>
      </c>
      <c r="E458" s="27" t="s">
        <v>1076</v>
      </c>
    </row>
    <row r="459" spans="1:5" x14ac:dyDescent="0.2">
      <c r="A459" s="27" t="s">
        <v>616</v>
      </c>
      <c r="B459" s="59" t="s">
        <v>617</v>
      </c>
      <c r="C459" s="28" t="s">
        <v>179</v>
      </c>
      <c r="D459" s="26">
        <f>1200+200</f>
        <v>1400</v>
      </c>
      <c r="E459" s="27" t="s">
        <v>1338</v>
      </c>
    </row>
    <row r="460" spans="1:5" s="14" customFormat="1" ht="36" x14ac:dyDescent="0.2">
      <c r="A460" s="27" t="s">
        <v>618</v>
      </c>
      <c r="B460" s="59" t="s">
        <v>619</v>
      </c>
      <c r="C460" s="28" t="s">
        <v>184</v>
      </c>
      <c r="D460" s="26">
        <f>310+340</f>
        <v>650</v>
      </c>
      <c r="E460" s="27" t="s">
        <v>1344</v>
      </c>
    </row>
    <row r="461" spans="1:5" ht="36" x14ac:dyDescent="0.2">
      <c r="A461" s="27" t="s">
        <v>620</v>
      </c>
      <c r="B461" s="59" t="s">
        <v>621</v>
      </c>
      <c r="C461" s="28" t="s">
        <v>184</v>
      </c>
      <c r="D461" s="26">
        <f>1250+100</f>
        <v>1350</v>
      </c>
      <c r="E461" s="27" t="s">
        <v>1344</v>
      </c>
    </row>
    <row r="462" spans="1:5" ht="36" x14ac:dyDescent="0.2">
      <c r="A462" s="27" t="s">
        <v>622</v>
      </c>
      <c r="B462" s="59" t="s">
        <v>623</v>
      </c>
      <c r="C462" s="28" t="s">
        <v>179</v>
      </c>
      <c r="D462" s="26">
        <f>1100+300</f>
        <v>1400</v>
      </c>
      <c r="E462" s="27" t="s">
        <v>1344</v>
      </c>
    </row>
    <row r="463" spans="1:5" ht="14.5" customHeight="1" x14ac:dyDescent="0.2">
      <c r="A463" s="122" t="s">
        <v>443</v>
      </c>
      <c r="B463" s="122"/>
      <c r="C463" s="122"/>
      <c r="D463" s="122"/>
      <c r="E463" s="122"/>
    </row>
    <row r="464" spans="1:5" x14ac:dyDescent="0.2">
      <c r="A464" s="27" t="s">
        <v>626</v>
      </c>
      <c r="B464" s="59" t="s">
        <v>627</v>
      </c>
      <c r="C464" s="25" t="s">
        <v>184</v>
      </c>
      <c r="D464" s="26">
        <f>520+150</f>
        <v>670</v>
      </c>
      <c r="E464" s="32" t="s">
        <v>879</v>
      </c>
    </row>
    <row r="465" spans="1:5" x14ac:dyDescent="0.2">
      <c r="A465" s="27" t="s">
        <v>628</v>
      </c>
      <c r="B465" s="59" t="s">
        <v>629</v>
      </c>
      <c r="C465" s="25" t="s">
        <v>184</v>
      </c>
      <c r="D465" s="26">
        <f>400+150</f>
        <v>550</v>
      </c>
      <c r="E465" s="32" t="s">
        <v>879</v>
      </c>
    </row>
    <row r="466" spans="1:5" x14ac:dyDescent="0.2">
      <c r="A466" s="27" t="s">
        <v>630</v>
      </c>
      <c r="B466" s="59" t="s">
        <v>631</v>
      </c>
      <c r="C466" s="25" t="s">
        <v>184</v>
      </c>
      <c r="D466" s="26">
        <f>590+60</f>
        <v>650</v>
      </c>
      <c r="E466" s="24" t="s">
        <v>1302</v>
      </c>
    </row>
    <row r="467" spans="1:5" s="14" customFormat="1" ht="30" customHeight="1" x14ac:dyDescent="0.2">
      <c r="A467" s="27" t="s">
        <v>632</v>
      </c>
      <c r="B467" s="59" t="s">
        <v>142</v>
      </c>
      <c r="C467" s="25" t="s">
        <v>179</v>
      </c>
      <c r="D467" s="26">
        <f>1250+150</f>
        <v>1400</v>
      </c>
      <c r="E467" s="24" t="s">
        <v>1302</v>
      </c>
    </row>
    <row r="468" spans="1:5" ht="14.5" customHeight="1" x14ac:dyDescent="0.2">
      <c r="A468" s="122" t="s">
        <v>857</v>
      </c>
      <c r="B468" s="122"/>
      <c r="C468" s="122"/>
      <c r="D468" s="122"/>
      <c r="E468" s="122"/>
    </row>
    <row r="469" spans="1:5" ht="14.5" customHeight="1" x14ac:dyDescent="0.2">
      <c r="A469" s="27" t="s">
        <v>858</v>
      </c>
      <c r="B469" s="59" t="s">
        <v>859</v>
      </c>
      <c r="C469" s="28" t="s">
        <v>184</v>
      </c>
      <c r="D469" s="26">
        <f>270+90</f>
        <v>360</v>
      </c>
      <c r="E469" s="24" t="s">
        <v>1298</v>
      </c>
    </row>
    <row r="470" spans="1:5" ht="14.5" customHeight="1" x14ac:dyDescent="0.2">
      <c r="A470" s="27" t="s">
        <v>860</v>
      </c>
      <c r="B470" s="59" t="s">
        <v>861</v>
      </c>
      <c r="C470" s="28" t="s">
        <v>184</v>
      </c>
      <c r="D470" s="26">
        <f>270+90</f>
        <v>360</v>
      </c>
      <c r="E470" s="24" t="s">
        <v>1298</v>
      </c>
    </row>
    <row r="471" spans="1:5" ht="15" customHeight="1" x14ac:dyDescent="0.2">
      <c r="A471" s="122" t="s">
        <v>444</v>
      </c>
      <c r="B471" s="122"/>
      <c r="C471" s="122"/>
      <c r="D471" s="122"/>
      <c r="E471" s="122"/>
    </row>
    <row r="472" spans="1:5" s="14" customFormat="1" ht="15" customHeight="1" x14ac:dyDescent="0.2">
      <c r="A472" s="27" t="s">
        <v>633</v>
      </c>
      <c r="B472" s="59" t="s">
        <v>634</v>
      </c>
      <c r="C472" s="25" t="s">
        <v>184</v>
      </c>
      <c r="D472" s="26">
        <f>590+60</f>
        <v>650</v>
      </c>
      <c r="E472" s="24" t="s">
        <v>1302</v>
      </c>
    </row>
    <row r="473" spans="1:5" ht="30" customHeight="1" x14ac:dyDescent="0.2">
      <c r="A473" s="27" t="s">
        <v>635</v>
      </c>
      <c r="B473" s="59" t="s">
        <v>143</v>
      </c>
      <c r="C473" s="25" t="s">
        <v>179</v>
      </c>
      <c r="D473" s="26">
        <f>1250+150</f>
        <v>1400</v>
      </c>
      <c r="E473" s="24" t="s">
        <v>1302</v>
      </c>
    </row>
    <row r="474" spans="1:5" ht="15" customHeight="1" x14ac:dyDescent="0.2">
      <c r="A474" s="122" t="s">
        <v>445</v>
      </c>
      <c r="B474" s="122"/>
      <c r="C474" s="122"/>
      <c r="D474" s="122"/>
      <c r="E474" s="122"/>
    </row>
    <row r="475" spans="1:5" s="14" customFormat="1" ht="15" customHeight="1" x14ac:dyDescent="0.2">
      <c r="A475" s="27" t="s">
        <v>636</v>
      </c>
      <c r="B475" s="59" t="s">
        <v>637</v>
      </c>
      <c r="C475" s="25" t="s">
        <v>184</v>
      </c>
      <c r="D475" s="26">
        <f>550+80</f>
        <v>630</v>
      </c>
      <c r="E475" s="24" t="s">
        <v>1302</v>
      </c>
    </row>
    <row r="476" spans="1:5" ht="15" customHeight="1" x14ac:dyDescent="0.2">
      <c r="A476" s="27" t="s">
        <v>638</v>
      </c>
      <c r="B476" s="59" t="s">
        <v>639</v>
      </c>
      <c r="C476" s="25" t="s">
        <v>179</v>
      </c>
      <c r="D476" s="26">
        <f>1250+150</f>
        <v>1400</v>
      </c>
      <c r="E476" s="24" t="s">
        <v>1302</v>
      </c>
    </row>
    <row r="477" spans="1:5" ht="15" customHeight="1" x14ac:dyDescent="0.2">
      <c r="A477" s="143" t="s">
        <v>1315</v>
      </c>
      <c r="B477" s="143"/>
      <c r="C477" s="143"/>
      <c r="D477" s="143"/>
      <c r="E477" s="143"/>
    </row>
    <row r="478" spans="1:5" ht="25.25" customHeight="1" x14ac:dyDescent="0.2">
      <c r="A478" s="27" t="s">
        <v>1037</v>
      </c>
      <c r="B478" s="59" t="s">
        <v>1038</v>
      </c>
      <c r="C478" s="28" t="s">
        <v>184</v>
      </c>
      <c r="D478" s="26">
        <f>900+200</f>
        <v>1100</v>
      </c>
      <c r="E478" s="27" t="s">
        <v>1310</v>
      </c>
    </row>
    <row r="479" spans="1:5" ht="15" customHeight="1" x14ac:dyDescent="0.2">
      <c r="A479" s="122" t="s">
        <v>666</v>
      </c>
      <c r="B479" s="122"/>
      <c r="C479" s="122"/>
      <c r="D479" s="122"/>
      <c r="E479" s="122"/>
    </row>
    <row r="480" spans="1:5" ht="25.5" customHeight="1" x14ac:dyDescent="0.2">
      <c r="A480" s="27" t="s">
        <v>667</v>
      </c>
      <c r="B480" s="59" t="s">
        <v>668</v>
      </c>
      <c r="C480" s="25" t="s">
        <v>179</v>
      </c>
      <c r="D480" s="26">
        <f>470+90</f>
        <v>560</v>
      </c>
      <c r="E480" s="24" t="s">
        <v>1298</v>
      </c>
    </row>
    <row r="481" spans="1:5" s="5" customFormat="1" ht="21" customHeight="1" x14ac:dyDescent="0.2">
      <c r="A481" s="27" t="s">
        <v>669</v>
      </c>
      <c r="B481" s="59" t="s">
        <v>670</v>
      </c>
      <c r="C481" s="25" t="s">
        <v>522</v>
      </c>
      <c r="D481" s="26">
        <f>470+90</f>
        <v>560</v>
      </c>
      <c r="E481" s="24" t="s">
        <v>1298</v>
      </c>
    </row>
    <row r="482" spans="1:5" s="5" customFormat="1" ht="36" x14ac:dyDescent="0.2">
      <c r="A482" s="28" t="s">
        <v>1720</v>
      </c>
      <c r="B482" s="59" t="s">
        <v>1721</v>
      </c>
      <c r="C482" s="28" t="s">
        <v>645</v>
      </c>
      <c r="D482" s="30">
        <f>510+60</f>
        <v>570</v>
      </c>
      <c r="E482" s="24" t="s">
        <v>1713</v>
      </c>
    </row>
    <row r="483" spans="1:5" s="5" customFormat="1" ht="15" customHeight="1" x14ac:dyDescent="0.2">
      <c r="A483" s="122" t="s">
        <v>671</v>
      </c>
      <c r="B483" s="122"/>
      <c r="C483" s="122"/>
      <c r="D483" s="122"/>
      <c r="E483" s="122"/>
    </row>
    <row r="484" spans="1:5" s="14" customFormat="1" ht="36" x14ac:dyDescent="0.2">
      <c r="A484" s="27" t="s">
        <v>672</v>
      </c>
      <c r="B484" s="59" t="s">
        <v>673</v>
      </c>
      <c r="C484" s="25" t="s">
        <v>179</v>
      </c>
      <c r="D484" s="26">
        <v>600</v>
      </c>
      <c r="E484" s="24" t="s">
        <v>1666</v>
      </c>
    </row>
    <row r="485" spans="1:5" ht="36" x14ac:dyDescent="0.2">
      <c r="A485" s="27" t="s">
        <v>1283</v>
      </c>
      <c r="B485" s="59" t="s">
        <v>674</v>
      </c>
      <c r="C485" s="25" t="s">
        <v>522</v>
      </c>
      <c r="D485" s="26">
        <v>610</v>
      </c>
      <c r="E485" s="24" t="s">
        <v>1666</v>
      </c>
    </row>
    <row r="486" spans="1:5" ht="15" customHeight="1" x14ac:dyDescent="0.2">
      <c r="A486" s="122" t="s">
        <v>640</v>
      </c>
      <c r="B486" s="122"/>
      <c r="C486" s="122"/>
      <c r="D486" s="122"/>
      <c r="E486" s="122"/>
    </row>
    <row r="487" spans="1:5" ht="15" customHeight="1" x14ac:dyDescent="0.2">
      <c r="A487" s="27" t="s">
        <v>641</v>
      </c>
      <c r="B487" s="59" t="s">
        <v>642</v>
      </c>
      <c r="C487" s="25" t="s">
        <v>179</v>
      </c>
      <c r="D487" s="26">
        <f>290+240</f>
        <v>530</v>
      </c>
      <c r="E487" s="24" t="s">
        <v>1298</v>
      </c>
    </row>
    <row r="488" spans="1:5" ht="15" customHeight="1" x14ac:dyDescent="0.2">
      <c r="A488" s="27" t="s">
        <v>643</v>
      </c>
      <c r="B488" s="59" t="s">
        <v>644</v>
      </c>
      <c r="C488" s="25" t="s">
        <v>645</v>
      </c>
      <c r="D488" s="26">
        <f>350+230</f>
        <v>580</v>
      </c>
      <c r="E488" s="24" t="s">
        <v>1298</v>
      </c>
    </row>
    <row r="489" spans="1:5" s="2" customFormat="1" ht="30" customHeight="1" x14ac:dyDescent="0.2">
      <c r="A489" s="27" t="s">
        <v>646</v>
      </c>
      <c r="B489" s="59" t="s">
        <v>647</v>
      </c>
      <c r="C489" s="25" t="s">
        <v>179</v>
      </c>
      <c r="D489" s="26">
        <f>400+100</f>
        <v>500</v>
      </c>
      <c r="E489" s="32" t="s">
        <v>874</v>
      </c>
    </row>
    <row r="490" spans="1:5" s="14" customFormat="1" ht="14.25" customHeight="1" x14ac:dyDescent="0.2">
      <c r="A490" s="143" t="s">
        <v>862</v>
      </c>
      <c r="B490" s="143"/>
      <c r="C490" s="143"/>
      <c r="D490" s="143"/>
      <c r="E490" s="143"/>
    </row>
    <row r="491" spans="1:5" ht="49.5" customHeight="1" x14ac:dyDescent="0.2">
      <c r="A491" s="27" t="s">
        <v>863</v>
      </c>
      <c r="B491" s="58" t="s">
        <v>1675</v>
      </c>
      <c r="C491" s="28" t="s">
        <v>184</v>
      </c>
      <c r="D491" s="26">
        <f>1200+150</f>
        <v>1350</v>
      </c>
      <c r="E491" s="27" t="s">
        <v>1310</v>
      </c>
    </row>
    <row r="492" spans="1:5" ht="15" customHeight="1" x14ac:dyDescent="0.2">
      <c r="A492" s="122" t="s">
        <v>453</v>
      </c>
      <c r="B492" s="122"/>
      <c r="C492" s="122"/>
      <c r="D492" s="122"/>
      <c r="E492" s="122"/>
    </row>
    <row r="493" spans="1:5" ht="26" x14ac:dyDescent="0.2">
      <c r="A493" s="27" t="s">
        <v>1722</v>
      </c>
      <c r="B493" s="59" t="s">
        <v>1476</v>
      </c>
      <c r="C493" s="28" t="s">
        <v>184</v>
      </c>
      <c r="D493" s="26">
        <f>160+80</f>
        <v>240</v>
      </c>
      <c r="E493" s="27" t="s">
        <v>1310</v>
      </c>
    </row>
    <row r="494" spans="1:5" ht="26" x14ac:dyDescent="0.2">
      <c r="A494" s="27" t="s">
        <v>1723</v>
      </c>
      <c r="B494" s="33" t="s">
        <v>1477</v>
      </c>
      <c r="C494" s="28" t="s">
        <v>179</v>
      </c>
      <c r="D494" s="26">
        <f>310+120</f>
        <v>430</v>
      </c>
      <c r="E494" s="27" t="s">
        <v>1310</v>
      </c>
    </row>
    <row r="495" spans="1:5" ht="65" x14ac:dyDescent="0.2">
      <c r="A495" s="27" t="s">
        <v>597</v>
      </c>
      <c r="B495" s="59" t="s">
        <v>1478</v>
      </c>
      <c r="C495" s="28" t="s">
        <v>184</v>
      </c>
      <c r="D495" s="26">
        <v>500</v>
      </c>
      <c r="E495" s="27" t="s">
        <v>1344</v>
      </c>
    </row>
    <row r="496" spans="1:5" ht="72" customHeight="1" x14ac:dyDescent="0.2">
      <c r="A496" s="27" t="s">
        <v>1100</v>
      </c>
      <c r="B496" s="59" t="s">
        <v>1479</v>
      </c>
      <c r="C496" s="28" t="s">
        <v>179</v>
      </c>
      <c r="D496" s="26">
        <f>1300+900</f>
        <v>2200</v>
      </c>
      <c r="E496" s="27" t="s">
        <v>1310</v>
      </c>
    </row>
    <row r="497" spans="1:5" ht="39" x14ac:dyDescent="0.2">
      <c r="A497" s="27" t="s">
        <v>1724</v>
      </c>
      <c r="B497" s="59" t="s">
        <v>1480</v>
      </c>
      <c r="C497" s="28" t="s">
        <v>179</v>
      </c>
      <c r="D497" s="26">
        <v>650</v>
      </c>
      <c r="E497" s="27" t="s">
        <v>1310</v>
      </c>
    </row>
    <row r="498" spans="1:5" ht="26" x14ac:dyDescent="0.2">
      <c r="A498" s="27" t="s">
        <v>1725</v>
      </c>
      <c r="B498" s="59" t="s">
        <v>1481</v>
      </c>
      <c r="C498" s="28" t="s">
        <v>184</v>
      </c>
      <c r="D498" s="26">
        <f>230+50</f>
        <v>280</v>
      </c>
      <c r="E498" s="27" t="s">
        <v>1310</v>
      </c>
    </row>
    <row r="499" spans="1:5" ht="15" customHeight="1" x14ac:dyDescent="0.2">
      <c r="A499" s="122" t="s">
        <v>436</v>
      </c>
      <c r="B499" s="122"/>
      <c r="C499" s="122"/>
      <c r="D499" s="122"/>
      <c r="E499" s="122"/>
    </row>
    <row r="500" spans="1:5" s="9" customFormat="1" ht="15" customHeight="1" x14ac:dyDescent="0.2">
      <c r="A500" s="27" t="s">
        <v>494</v>
      </c>
      <c r="B500" s="59" t="s">
        <v>93</v>
      </c>
      <c r="C500" s="28" t="s">
        <v>522</v>
      </c>
      <c r="D500" s="26">
        <f>470+180</f>
        <v>650</v>
      </c>
      <c r="E500" s="24" t="s">
        <v>1298</v>
      </c>
    </row>
    <row r="501" spans="1:5" s="9" customFormat="1" ht="15" customHeight="1" x14ac:dyDescent="0.2">
      <c r="A501" s="27" t="s">
        <v>495</v>
      </c>
      <c r="B501" s="59" t="s">
        <v>94</v>
      </c>
      <c r="C501" s="28" t="s">
        <v>522</v>
      </c>
      <c r="D501" s="26">
        <f>470+180</f>
        <v>650</v>
      </c>
      <c r="E501" s="24" t="s">
        <v>1298</v>
      </c>
    </row>
    <row r="502" spans="1:5" ht="15" customHeight="1" x14ac:dyDescent="0.2">
      <c r="A502" s="122" t="s">
        <v>437</v>
      </c>
      <c r="B502" s="122"/>
      <c r="C502" s="122"/>
      <c r="D502" s="122"/>
      <c r="E502" s="122"/>
    </row>
    <row r="503" spans="1:5" s="14" customFormat="1" ht="15" customHeight="1" x14ac:dyDescent="0.2">
      <c r="A503" s="27" t="s">
        <v>785</v>
      </c>
      <c r="B503" s="59" t="s">
        <v>451</v>
      </c>
      <c r="C503" s="28" t="s">
        <v>522</v>
      </c>
      <c r="D503" s="26">
        <f>650+100</f>
        <v>750</v>
      </c>
      <c r="E503" s="27" t="s">
        <v>1305</v>
      </c>
    </row>
    <row r="504" spans="1:5" ht="15" customHeight="1" x14ac:dyDescent="0.2">
      <c r="A504" s="27" t="s">
        <v>786</v>
      </c>
      <c r="B504" s="59" t="s">
        <v>452</v>
      </c>
      <c r="C504" s="28" t="s">
        <v>522</v>
      </c>
      <c r="D504" s="26">
        <f>650+100</f>
        <v>750</v>
      </c>
      <c r="E504" s="27" t="s">
        <v>1305</v>
      </c>
    </row>
    <row r="505" spans="1:5" ht="15" customHeight="1" x14ac:dyDescent="0.2">
      <c r="A505" s="122" t="s">
        <v>648</v>
      </c>
      <c r="B505" s="122"/>
      <c r="C505" s="122"/>
      <c r="D505" s="122"/>
      <c r="E505" s="122"/>
    </row>
    <row r="506" spans="1:5" ht="15" customHeight="1" x14ac:dyDescent="0.2">
      <c r="A506" s="27" t="s">
        <v>649</v>
      </c>
      <c r="B506" s="59" t="s">
        <v>650</v>
      </c>
      <c r="C506" s="25" t="s">
        <v>179</v>
      </c>
      <c r="D506" s="26">
        <f>270+130</f>
        <v>400</v>
      </c>
      <c r="E506" s="24" t="s">
        <v>1298</v>
      </c>
    </row>
    <row r="507" spans="1:5" ht="15" customHeight="1" x14ac:dyDescent="0.2">
      <c r="A507" s="27" t="s">
        <v>651</v>
      </c>
      <c r="B507" s="59" t="s">
        <v>652</v>
      </c>
      <c r="C507" s="25" t="s">
        <v>645</v>
      </c>
      <c r="D507" s="26">
        <f>320+150</f>
        <v>470</v>
      </c>
      <c r="E507" s="24" t="s">
        <v>1298</v>
      </c>
    </row>
    <row r="508" spans="1:5" ht="25.25" customHeight="1" x14ac:dyDescent="0.2">
      <c r="A508" s="27" t="s">
        <v>653</v>
      </c>
      <c r="B508" s="59" t="s">
        <v>654</v>
      </c>
      <c r="C508" s="25" t="s">
        <v>179</v>
      </c>
      <c r="D508" s="26">
        <f>320+230</f>
        <v>550</v>
      </c>
      <c r="E508" s="32" t="s">
        <v>874</v>
      </c>
    </row>
    <row r="509" spans="1:5" s="14" customFormat="1" ht="15" customHeight="1" x14ac:dyDescent="0.2">
      <c r="A509" s="27" t="s">
        <v>655</v>
      </c>
      <c r="B509" s="76" t="s">
        <v>656</v>
      </c>
      <c r="C509" s="24" t="s">
        <v>184</v>
      </c>
      <c r="D509" s="77">
        <f>150+120</f>
        <v>270</v>
      </c>
      <c r="E509" s="24" t="s">
        <v>1310</v>
      </c>
    </row>
    <row r="510" spans="1:5" s="14" customFormat="1" ht="28" x14ac:dyDescent="0.2">
      <c r="A510" s="67" t="s">
        <v>1762</v>
      </c>
      <c r="B510" s="75" t="s">
        <v>1763</v>
      </c>
      <c r="C510" s="70" t="s">
        <v>179</v>
      </c>
      <c r="D510" s="79">
        <v>280</v>
      </c>
      <c r="E510" s="85" t="s">
        <v>1310</v>
      </c>
    </row>
    <row r="511" spans="1:5" ht="42" x14ac:dyDescent="0.2">
      <c r="A511" s="70" t="s">
        <v>1764</v>
      </c>
      <c r="B511" s="75" t="s">
        <v>1765</v>
      </c>
      <c r="C511" s="78" t="s">
        <v>179</v>
      </c>
      <c r="D511" s="84">
        <v>300</v>
      </c>
      <c r="E511" s="85" t="s">
        <v>1310</v>
      </c>
    </row>
    <row r="512" spans="1:5" ht="15" customHeight="1" x14ac:dyDescent="0.2">
      <c r="A512" s="122" t="s">
        <v>500</v>
      </c>
      <c r="B512" s="122"/>
      <c r="C512" s="122"/>
      <c r="D512" s="122"/>
      <c r="E512" s="122"/>
    </row>
    <row r="513" spans="1:5" ht="36" x14ac:dyDescent="0.2">
      <c r="A513" s="27" t="s">
        <v>1070</v>
      </c>
      <c r="B513" s="59" t="s">
        <v>596</v>
      </c>
      <c r="C513" s="25" t="s">
        <v>184</v>
      </c>
      <c r="D513" s="26">
        <f>800+50</f>
        <v>850</v>
      </c>
      <c r="E513" s="24" t="s">
        <v>1665</v>
      </c>
    </row>
    <row r="514" spans="1:5" ht="15" customHeight="1" x14ac:dyDescent="0.2">
      <c r="A514" s="122" t="s">
        <v>438</v>
      </c>
      <c r="B514" s="122"/>
      <c r="C514" s="122"/>
      <c r="D514" s="122"/>
      <c r="E514" s="122"/>
    </row>
    <row r="515" spans="1:5" ht="26" x14ac:dyDescent="0.2">
      <c r="A515" s="27" t="s">
        <v>1284</v>
      </c>
      <c r="B515" s="59" t="s">
        <v>425</v>
      </c>
      <c r="C515" s="25" t="s">
        <v>184</v>
      </c>
      <c r="D515" s="26">
        <f>320+100</f>
        <v>420</v>
      </c>
      <c r="E515" s="27" t="s">
        <v>1258</v>
      </c>
    </row>
    <row r="516" spans="1:5" ht="26" x14ac:dyDescent="0.2">
      <c r="A516" s="27" t="s">
        <v>1285</v>
      </c>
      <c r="B516" s="59" t="s">
        <v>423</v>
      </c>
      <c r="C516" s="25" t="s">
        <v>522</v>
      </c>
      <c r="D516" s="26">
        <f>440+100</f>
        <v>540</v>
      </c>
      <c r="E516" s="27" t="s">
        <v>1258</v>
      </c>
    </row>
    <row r="517" spans="1:5" ht="26" x14ac:dyDescent="0.2">
      <c r="A517" s="27" t="s">
        <v>662</v>
      </c>
      <c r="B517" s="59" t="s">
        <v>428</v>
      </c>
      <c r="C517" s="25" t="s">
        <v>179</v>
      </c>
      <c r="D517" s="26">
        <f>320+130</f>
        <v>450</v>
      </c>
      <c r="E517" s="24" t="s">
        <v>1403</v>
      </c>
    </row>
    <row r="518" spans="1:5" s="14" customFormat="1" ht="26" x14ac:dyDescent="0.2">
      <c r="A518" s="27" t="s">
        <v>663</v>
      </c>
      <c r="B518" s="59" t="s">
        <v>424</v>
      </c>
      <c r="C518" s="25" t="s">
        <v>184</v>
      </c>
      <c r="D518" s="26">
        <f>370+90</f>
        <v>460</v>
      </c>
      <c r="E518" s="27" t="s">
        <v>1258</v>
      </c>
    </row>
    <row r="519" spans="1:5" ht="26" x14ac:dyDescent="0.2">
      <c r="A519" s="27" t="s">
        <v>664</v>
      </c>
      <c r="B519" s="59" t="s">
        <v>429</v>
      </c>
      <c r="C519" s="25" t="s">
        <v>179</v>
      </c>
      <c r="D519" s="26">
        <f>360+200</f>
        <v>560</v>
      </c>
      <c r="E519" s="32" t="s">
        <v>874</v>
      </c>
    </row>
    <row r="520" spans="1:5" x14ac:dyDescent="0.2">
      <c r="A520" s="27" t="s">
        <v>665</v>
      </c>
      <c r="B520" s="59" t="s">
        <v>422</v>
      </c>
      <c r="C520" s="25" t="s">
        <v>184</v>
      </c>
      <c r="D520" s="26">
        <f>150+100</f>
        <v>250</v>
      </c>
      <c r="E520" s="24" t="s">
        <v>1310</v>
      </c>
    </row>
    <row r="521" spans="1:5" s="5" customFormat="1" ht="28" x14ac:dyDescent="0.2">
      <c r="A521" s="67" t="s">
        <v>1766</v>
      </c>
      <c r="B521" s="75" t="s">
        <v>1767</v>
      </c>
      <c r="C521" s="70" t="s">
        <v>179</v>
      </c>
      <c r="D521" s="74">
        <v>280</v>
      </c>
      <c r="E521" s="85" t="s">
        <v>1310</v>
      </c>
    </row>
    <row r="522" spans="1:5" ht="42" x14ac:dyDescent="0.2">
      <c r="A522" s="70" t="s">
        <v>1768</v>
      </c>
      <c r="B522" s="75" t="s">
        <v>1769</v>
      </c>
      <c r="C522" s="78" t="s">
        <v>179</v>
      </c>
      <c r="D522" s="74">
        <v>300</v>
      </c>
      <c r="E522" s="85" t="s">
        <v>1310</v>
      </c>
    </row>
    <row r="523" spans="1:5" ht="15" customHeight="1" x14ac:dyDescent="0.2">
      <c r="A523" s="136" t="s">
        <v>675</v>
      </c>
      <c r="B523" s="136"/>
      <c r="C523" s="136"/>
      <c r="D523" s="136"/>
      <c r="E523" s="136"/>
    </row>
    <row r="524" spans="1:5" ht="15" customHeight="1" x14ac:dyDescent="0.2">
      <c r="A524" s="122" t="s">
        <v>706</v>
      </c>
      <c r="B524" s="122"/>
      <c r="C524" s="122"/>
      <c r="D524" s="122"/>
      <c r="E524" s="122"/>
    </row>
    <row r="525" spans="1:5" ht="26" x14ac:dyDescent="0.2">
      <c r="A525" s="27" t="s">
        <v>1023</v>
      </c>
      <c r="B525" s="59" t="s">
        <v>1482</v>
      </c>
      <c r="C525" s="28" t="s">
        <v>179</v>
      </c>
      <c r="D525" s="26">
        <f>1900+100</f>
        <v>2000</v>
      </c>
      <c r="E525" s="24" t="s">
        <v>1310</v>
      </c>
    </row>
    <row r="526" spans="1:5" ht="26" x14ac:dyDescent="0.2">
      <c r="A526" s="27" t="s">
        <v>1024</v>
      </c>
      <c r="B526" s="59" t="s">
        <v>1483</v>
      </c>
      <c r="C526" s="28" t="s">
        <v>179</v>
      </c>
      <c r="D526" s="26">
        <f>1500+50</f>
        <v>1550</v>
      </c>
      <c r="E526" s="24" t="s">
        <v>1310</v>
      </c>
    </row>
    <row r="527" spans="1:5" s="15" customFormat="1" ht="26" x14ac:dyDescent="0.2">
      <c r="A527" s="27" t="s">
        <v>707</v>
      </c>
      <c r="B527" s="33" t="s">
        <v>1484</v>
      </c>
      <c r="C527" s="25" t="s">
        <v>179</v>
      </c>
      <c r="D527" s="26">
        <f>1800+200</f>
        <v>2000</v>
      </c>
      <c r="E527" s="24" t="s">
        <v>1310</v>
      </c>
    </row>
    <row r="528" spans="1:5" s="5" customFormat="1" ht="26" x14ac:dyDescent="0.2">
      <c r="A528" s="27" t="s">
        <v>95</v>
      </c>
      <c r="B528" s="33" t="s">
        <v>1485</v>
      </c>
      <c r="C528" s="25" t="s">
        <v>179</v>
      </c>
      <c r="D528" s="26">
        <f>1100+400</f>
        <v>1500</v>
      </c>
      <c r="E528" s="24" t="s">
        <v>1310</v>
      </c>
    </row>
    <row r="529" spans="1:5" s="2" customFormat="1" ht="26" x14ac:dyDescent="0.2">
      <c r="A529" s="27" t="s">
        <v>708</v>
      </c>
      <c r="B529" s="59" t="s">
        <v>1486</v>
      </c>
      <c r="C529" s="25" t="s">
        <v>179</v>
      </c>
      <c r="D529" s="26">
        <f>1050+450</f>
        <v>1500</v>
      </c>
      <c r="E529" s="24" t="s">
        <v>1310</v>
      </c>
    </row>
    <row r="530" spans="1:5" s="2" customFormat="1" x14ac:dyDescent="0.2">
      <c r="A530" s="27" t="s">
        <v>504</v>
      </c>
      <c r="B530" s="59" t="s">
        <v>1487</v>
      </c>
      <c r="C530" s="25" t="s">
        <v>179</v>
      </c>
      <c r="D530" s="26">
        <f>550+50</f>
        <v>600</v>
      </c>
      <c r="E530" s="27" t="s">
        <v>875</v>
      </c>
    </row>
    <row r="531" spans="1:5" ht="15" customHeight="1" x14ac:dyDescent="0.2">
      <c r="A531" s="122" t="s">
        <v>714</v>
      </c>
      <c r="B531" s="122"/>
      <c r="C531" s="122"/>
      <c r="D531" s="122"/>
      <c r="E531" s="122"/>
    </row>
    <row r="532" spans="1:5" ht="15" customHeight="1" x14ac:dyDescent="0.2">
      <c r="A532" s="27" t="s">
        <v>715</v>
      </c>
      <c r="B532" s="59" t="s">
        <v>716</v>
      </c>
      <c r="C532" s="25" t="s">
        <v>522</v>
      </c>
      <c r="D532" s="26">
        <f>470+130</f>
        <v>600</v>
      </c>
      <c r="E532" s="24" t="s">
        <v>1298</v>
      </c>
    </row>
    <row r="533" spans="1:5" ht="15" customHeight="1" x14ac:dyDescent="0.2">
      <c r="A533" s="27" t="s">
        <v>717</v>
      </c>
      <c r="B533" s="59" t="s">
        <v>718</v>
      </c>
      <c r="C533" s="25" t="s">
        <v>522</v>
      </c>
      <c r="D533" s="26">
        <f>470+130</f>
        <v>600</v>
      </c>
      <c r="E533" s="24" t="s">
        <v>1298</v>
      </c>
    </row>
    <row r="534" spans="1:5" ht="40.5" customHeight="1" x14ac:dyDescent="0.2">
      <c r="A534" s="27" t="s">
        <v>1717</v>
      </c>
      <c r="B534" s="59" t="s">
        <v>1694</v>
      </c>
      <c r="C534" s="25" t="s">
        <v>184</v>
      </c>
      <c r="D534" s="26">
        <f>510+50</f>
        <v>560</v>
      </c>
      <c r="E534" s="24" t="s">
        <v>1713</v>
      </c>
    </row>
    <row r="535" spans="1:5" ht="16.5" customHeight="1" x14ac:dyDescent="0.2">
      <c r="A535" s="122" t="s">
        <v>1039</v>
      </c>
      <c r="B535" s="122"/>
      <c r="C535" s="122"/>
      <c r="D535" s="122"/>
      <c r="E535" s="122"/>
    </row>
    <row r="536" spans="1:5" ht="26" x14ac:dyDescent="0.2">
      <c r="A536" s="27" t="s">
        <v>1040</v>
      </c>
      <c r="B536" s="59" t="s">
        <v>1041</v>
      </c>
      <c r="C536" s="25" t="s">
        <v>184</v>
      </c>
      <c r="D536" s="26">
        <f>510+90</f>
        <v>600</v>
      </c>
      <c r="E536" s="24" t="s">
        <v>1298</v>
      </c>
    </row>
    <row r="537" spans="1:5" ht="14.5" customHeight="1" x14ac:dyDescent="0.2">
      <c r="A537" s="122" t="s">
        <v>447</v>
      </c>
      <c r="B537" s="122"/>
      <c r="C537" s="122"/>
      <c r="D537" s="122"/>
      <c r="E537" s="122"/>
    </row>
    <row r="538" spans="1:5" ht="14.5" customHeight="1" x14ac:dyDescent="0.2">
      <c r="A538" s="27" t="s">
        <v>676</v>
      </c>
      <c r="B538" s="59" t="s">
        <v>677</v>
      </c>
      <c r="C538" s="25" t="s">
        <v>184</v>
      </c>
      <c r="D538" s="26">
        <f>150+110</f>
        <v>260</v>
      </c>
      <c r="E538" s="24" t="s">
        <v>1310</v>
      </c>
    </row>
    <row r="539" spans="1:5" s="5" customFormat="1" ht="14.5" customHeight="1" x14ac:dyDescent="0.2">
      <c r="A539" s="122" t="s">
        <v>687</v>
      </c>
      <c r="B539" s="122"/>
      <c r="C539" s="122"/>
      <c r="D539" s="122"/>
      <c r="E539" s="122"/>
    </row>
    <row r="540" spans="1:5" s="5" customFormat="1" x14ac:dyDescent="0.2">
      <c r="A540" s="27" t="s">
        <v>835</v>
      </c>
      <c r="B540" s="59" t="s">
        <v>836</v>
      </c>
      <c r="C540" s="25" t="s">
        <v>184</v>
      </c>
      <c r="D540" s="26">
        <f>150+110</f>
        <v>260</v>
      </c>
      <c r="E540" s="24" t="s">
        <v>1310</v>
      </c>
    </row>
    <row r="541" spans="1:5" ht="15" customHeight="1" x14ac:dyDescent="0.2">
      <c r="A541" s="122" t="s">
        <v>1042</v>
      </c>
      <c r="B541" s="122"/>
      <c r="C541" s="122"/>
      <c r="D541" s="122"/>
      <c r="E541" s="122"/>
    </row>
    <row r="542" spans="1:5" ht="36" x14ac:dyDescent="0.2">
      <c r="A542" s="27" t="s">
        <v>1043</v>
      </c>
      <c r="B542" s="59" t="s">
        <v>1466</v>
      </c>
      <c r="C542" s="28" t="s">
        <v>179</v>
      </c>
      <c r="D542" s="29">
        <f>620+250</f>
        <v>870</v>
      </c>
      <c r="E542" s="24" t="s">
        <v>1666</v>
      </c>
    </row>
    <row r="543" spans="1:5" ht="15" customHeight="1" x14ac:dyDescent="0.2">
      <c r="A543" s="122" t="s">
        <v>719</v>
      </c>
      <c r="B543" s="122"/>
      <c r="C543" s="122"/>
      <c r="D543" s="122"/>
      <c r="E543" s="122"/>
    </row>
    <row r="544" spans="1:5" ht="15" customHeight="1" x14ac:dyDescent="0.2">
      <c r="A544" s="27" t="s">
        <v>720</v>
      </c>
      <c r="B544" s="59" t="s">
        <v>721</v>
      </c>
      <c r="C544" s="25" t="s">
        <v>522</v>
      </c>
      <c r="D544" s="26">
        <f>400+100</f>
        <v>500</v>
      </c>
      <c r="E544" s="27" t="s">
        <v>879</v>
      </c>
    </row>
    <row r="545" spans="1:5" s="5" customFormat="1" ht="15" customHeight="1" x14ac:dyDescent="0.2">
      <c r="A545" s="27" t="s">
        <v>722</v>
      </c>
      <c r="B545" s="59" t="s">
        <v>723</v>
      </c>
      <c r="C545" s="25" t="s">
        <v>522</v>
      </c>
      <c r="D545" s="26">
        <f>400+100</f>
        <v>500</v>
      </c>
      <c r="E545" s="27" t="s">
        <v>879</v>
      </c>
    </row>
    <row r="546" spans="1:5" s="5" customFormat="1" ht="16.5" customHeight="1" x14ac:dyDescent="0.2">
      <c r="A546" s="122" t="s">
        <v>1107</v>
      </c>
      <c r="B546" s="122"/>
      <c r="C546" s="122"/>
      <c r="D546" s="122"/>
      <c r="E546" s="122"/>
    </row>
    <row r="547" spans="1:5" ht="26.25" customHeight="1" x14ac:dyDescent="0.2">
      <c r="A547" s="27" t="s">
        <v>713</v>
      </c>
      <c r="B547" s="59" t="s">
        <v>126</v>
      </c>
      <c r="C547" s="25" t="s">
        <v>555</v>
      </c>
      <c r="D547" s="26">
        <f>630+170</f>
        <v>800</v>
      </c>
      <c r="E547" s="27" t="s">
        <v>1345</v>
      </c>
    </row>
    <row r="548" spans="1:5" ht="24.75" customHeight="1" x14ac:dyDescent="0.2">
      <c r="A548" s="27" t="s">
        <v>148</v>
      </c>
      <c r="B548" s="59" t="s">
        <v>127</v>
      </c>
      <c r="C548" s="25" t="s">
        <v>555</v>
      </c>
      <c r="D548" s="26">
        <f>630+170</f>
        <v>800</v>
      </c>
      <c r="E548" s="27" t="s">
        <v>1345</v>
      </c>
    </row>
    <row r="549" spans="1:5" ht="27.75" customHeight="1" x14ac:dyDescent="0.2">
      <c r="A549" s="27" t="s">
        <v>311</v>
      </c>
      <c r="B549" s="59" t="s">
        <v>128</v>
      </c>
      <c r="C549" s="25" t="s">
        <v>555</v>
      </c>
      <c r="D549" s="26">
        <f>630+170</f>
        <v>800</v>
      </c>
      <c r="E549" s="27" t="s">
        <v>1345</v>
      </c>
    </row>
    <row r="550" spans="1:5" ht="39" x14ac:dyDescent="0.2">
      <c r="A550" s="27" t="s">
        <v>1108</v>
      </c>
      <c r="B550" s="59" t="s">
        <v>1455</v>
      </c>
      <c r="C550" s="25" t="s">
        <v>184</v>
      </c>
      <c r="D550" s="26">
        <f>900+150</f>
        <v>1050</v>
      </c>
      <c r="E550" s="27" t="s">
        <v>1344</v>
      </c>
    </row>
    <row r="551" spans="1:5" ht="15" customHeight="1" x14ac:dyDescent="0.2">
      <c r="A551" s="122" t="s">
        <v>448</v>
      </c>
      <c r="B551" s="122"/>
      <c r="C551" s="122"/>
      <c r="D551" s="122"/>
      <c r="E551" s="122"/>
    </row>
    <row r="552" spans="1:5" ht="15" customHeight="1" x14ac:dyDescent="0.2">
      <c r="A552" s="27" t="s">
        <v>685</v>
      </c>
      <c r="B552" s="59" t="s">
        <v>686</v>
      </c>
      <c r="C552" s="25" t="s">
        <v>184</v>
      </c>
      <c r="D552" s="26">
        <f>300+50</f>
        <v>350</v>
      </c>
      <c r="E552" s="24" t="s">
        <v>1302</v>
      </c>
    </row>
    <row r="553" spans="1:5" s="5" customFormat="1" ht="15" customHeight="1" x14ac:dyDescent="0.2">
      <c r="A553" s="143" t="s">
        <v>796</v>
      </c>
      <c r="B553" s="143"/>
      <c r="C553" s="143"/>
      <c r="D553" s="143"/>
      <c r="E553" s="143"/>
    </row>
    <row r="554" spans="1:5" s="5" customFormat="1" ht="15" customHeight="1" x14ac:dyDescent="0.2">
      <c r="A554" s="27" t="s">
        <v>769</v>
      </c>
      <c r="B554" s="59" t="s">
        <v>770</v>
      </c>
      <c r="C554" s="25" t="s">
        <v>522</v>
      </c>
      <c r="D554" s="26">
        <f>190+200</f>
        <v>390</v>
      </c>
      <c r="E554" s="27" t="s">
        <v>1298</v>
      </c>
    </row>
    <row r="555" spans="1:5" s="5" customFormat="1" ht="15" customHeight="1" x14ac:dyDescent="0.2">
      <c r="A555" s="27" t="s">
        <v>771</v>
      </c>
      <c r="B555" s="59" t="s">
        <v>0</v>
      </c>
      <c r="C555" s="25" t="s">
        <v>522</v>
      </c>
      <c r="D555" s="26">
        <f>190+200</f>
        <v>390</v>
      </c>
      <c r="E555" s="27" t="s">
        <v>1314</v>
      </c>
    </row>
    <row r="556" spans="1:5" s="5" customFormat="1" ht="15" customHeight="1" x14ac:dyDescent="0.2">
      <c r="A556" s="27" t="s">
        <v>1</v>
      </c>
      <c r="B556" s="59" t="s">
        <v>2</v>
      </c>
      <c r="C556" s="25" t="s">
        <v>184</v>
      </c>
      <c r="D556" s="26">
        <f>150+100</f>
        <v>250</v>
      </c>
      <c r="E556" s="24" t="s">
        <v>1310</v>
      </c>
    </row>
    <row r="557" spans="1:5" s="5" customFormat="1" ht="15" customHeight="1" x14ac:dyDescent="0.2">
      <c r="A557" s="27" t="s">
        <v>3</v>
      </c>
      <c r="B557" s="59" t="s">
        <v>4</v>
      </c>
      <c r="C557" s="25" t="s">
        <v>184</v>
      </c>
      <c r="D557" s="26">
        <f>150+100</f>
        <v>250</v>
      </c>
      <c r="E557" s="24" t="s">
        <v>1310</v>
      </c>
    </row>
    <row r="558" spans="1:5" s="5" customFormat="1" ht="15" customHeight="1" x14ac:dyDescent="0.2">
      <c r="A558" s="27" t="s">
        <v>5</v>
      </c>
      <c r="B558" s="59" t="s">
        <v>132</v>
      </c>
      <c r="C558" s="25" t="s">
        <v>522</v>
      </c>
      <c r="D558" s="26">
        <f>250+150</f>
        <v>400</v>
      </c>
      <c r="E558" s="27" t="s">
        <v>1314</v>
      </c>
    </row>
    <row r="559" spans="1:5" s="5" customFormat="1" ht="36" x14ac:dyDescent="0.2">
      <c r="A559" s="27" t="s">
        <v>6</v>
      </c>
      <c r="B559" s="59" t="s">
        <v>7</v>
      </c>
      <c r="C559" s="25" t="s">
        <v>184</v>
      </c>
      <c r="D559" s="26">
        <f>250+150</f>
        <v>400</v>
      </c>
      <c r="E559" s="27" t="s">
        <v>1342</v>
      </c>
    </row>
    <row r="560" spans="1:5" s="5" customFormat="1" ht="36" x14ac:dyDescent="0.2">
      <c r="A560" s="27" t="s">
        <v>890</v>
      </c>
      <c r="B560" s="59" t="s">
        <v>891</v>
      </c>
      <c r="C560" s="28" t="s">
        <v>184</v>
      </c>
      <c r="D560" s="26">
        <f>250+150</f>
        <v>400</v>
      </c>
      <c r="E560" s="27" t="s">
        <v>1342</v>
      </c>
    </row>
    <row r="561" spans="1:5" s="5" customFormat="1" ht="24" x14ac:dyDescent="0.2">
      <c r="A561" s="27" t="s">
        <v>489</v>
      </c>
      <c r="B561" s="59" t="s">
        <v>473</v>
      </c>
      <c r="C561" s="25" t="s">
        <v>184</v>
      </c>
      <c r="D561" s="26">
        <f>260+70</f>
        <v>330</v>
      </c>
      <c r="E561" s="27" t="s">
        <v>882</v>
      </c>
    </row>
    <row r="562" spans="1:5" ht="15" customHeight="1" x14ac:dyDescent="0.2">
      <c r="A562" s="122" t="s">
        <v>449</v>
      </c>
      <c r="B562" s="122"/>
      <c r="C562" s="122"/>
      <c r="D562" s="122"/>
      <c r="E562" s="122"/>
    </row>
    <row r="563" spans="1:5" ht="15" customHeight="1" x14ac:dyDescent="0.2">
      <c r="A563" s="27" t="s">
        <v>678</v>
      </c>
      <c r="B563" s="59" t="s">
        <v>684</v>
      </c>
      <c r="C563" s="25" t="s">
        <v>522</v>
      </c>
      <c r="D563" s="26">
        <f>320+180</f>
        <v>500</v>
      </c>
      <c r="E563" s="24" t="s">
        <v>1298</v>
      </c>
    </row>
    <row r="564" spans="1:5" ht="15" customHeight="1" x14ac:dyDescent="0.2">
      <c r="A564" s="122" t="s">
        <v>709</v>
      </c>
      <c r="B564" s="122"/>
      <c r="C564" s="122"/>
      <c r="D564" s="122"/>
      <c r="E564" s="122"/>
    </row>
    <row r="565" spans="1:5" ht="15" customHeight="1" x14ac:dyDescent="0.2">
      <c r="A565" s="27" t="s">
        <v>710</v>
      </c>
      <c r="B565" s="59" t="s">
        <v>213</v>
      </c>
      <c r="C565" s="28" t="s">
        <v>184</v>
      </c>
      <c r="D565" s="26">
        <f>100+100</f>
        <v>200</v>
      </c>
      <c r="E565" s="24" t="s">
        <v>1298</v>
      </c>
    </row>
    <row r="566" spans="1:5" ht="15" customHeight="1" x14ac:dyDescent="0.2">
      <c r="A566" s="27" t="s">
        <v>1286</v>
      </c>
      <c r="B566" s="59" t="s">
        <v>214</v>
      </c>
      <c r="C566" s="28" t="s">
        <v>184</v>
      </c>
      <c r="D566" s="26">
        <f>210+100</f>
        <v>310</v>
      </c>
      <c r="E566" s="24" t="s">
        <v>1298</v>
      </c>
    </row>
    <row r="567" spans="1:5" ht="15" customHeight="1" x14ac:dyDescent="0.2">
      <c r="A567" s="27" t="s">
        <v>711</v>
      </c>
      <c r="B567" s="59" t="s">
        <v>214</v>
      </c>
      <c r="C567" s="28" t="s">
        <v>522</v>
      </c>
      <c r="D567" s="26">
        <f>280+150</f>
        <v>430</v>
      </c>
      <c r="E567" s="24" t="s">
        <v>1298</v>
      </c>
    </row>
    <row r="568" spans="1:5" x14ac:dyDescent="0.2">
      <c r="A568" s="27" t="s">
        <v>62</v>
      </c>
      <c r="B568" s="59" t="s">
        <v>215</v>
      </c>
      <c r="C568" s="28" t="s">
        <v>184</v>
      </c>
      <c r="D568" s="26">
        <v>210</v>
      </c>
      <c r="E568" s="24" t="s">
        <v>1298</v>
      </c>
    </row>
    <row r="569" spans="1:5" ht="15" customHeight="1" x14ac:dyDescent="0.2">
      <c r="A569" s="27" t="s">
        <v>280</v>
      </c>
      <c r="B569" s="59" t="s">
        <v>282</v>
      </c>
      <c r="C569" s="28" t="s">
        <v>522</v>
      </c>
      <c r="D569" s="26">
        <f>210+100</f>
        <v>310</v>
      </c>
      <c r="E569" s="24" t="s">
        <v>1298</v>
      </c>
    </row>
    <row r="570" spans="1:5" ht="15" customHeight="1" x14ac:dyDescent="0.2">
      <c r="A570" s="27" t="s">
        <v>712</v>
      </c>
      <c r="B570" s="59" t="s">
        <v>281</v>
      </c>
      <c r="C570" s="28" t="s">
        <v>184</v>
      </c>
      <c r="D570" s="26">
        <f>350+200</f>
        <v>550</v>
      </c>
      <c r="E570" s="24" t="s">
        <v>1298</v>
      </c>
    </row>
    <row r="571" spans="1:5" ht="15" customHeight="1" x14ac:dyDescent="0.2">
      <c r="A571" s="27" t="s">
        <v>798</v>
      </c>
      <c r="B571" s="59" t="s">
        <v>795</v>
      </c>
      <c r="C571" s="28" t="s">
        <v>184</v>
      </c>
      <c r="D571" s="26">
        <f>300+50</f>
        <v>350</v>
      </c>
      <c r="E571" s="27" t="s">
        <v>1310</v>
      </c>
    </row>
    <row r="572" spans="1:5" ht="14.5" customHeight="1" x14ac:dyDescent="0.2">
      <c r="A572" s="122" t="s">
        <v>283</v>
      </c>
      <c r="B572" s="122"/>
      <c r="C572" s="122"/>
      <c r="D572" s="122"/>
      <c r="E572" s="122"/>
    </row>
    <row r="573" spans="1:5" s="5" customFormat="1" ht="14.5" customHeight="1" x14ac:dyDescent="0.2">
      <c r="A573" s="27" t="s">
        <v>285</v>
      </c>
      <c r="B573" s="59" t="s">
        <v>284</v>
      </c>
      <c r="C573" s="25" t="s">
        <v>184</v>
      </c>
      <c r="D573" s="26">
        <f>300+100</f>
        <v>400</v>
      </c>
      <c r="E573" s="27" t="s">
        <v>1338</v>
      </c>
    </row>
    <row r="574" spans="1:5" s="5" customFormat="1" ht="14.5" customHeight="1" x14ac:dyDescent="0.2">
      <c r="A574" s="122" t="s">
        <v>703</v>
      </c>
      <c r="B574" s="122"/>
      <c r="C574" s="122"/>
      <c r="D574" s="122"/>
      <c r="E574" s="122"/>
    </row>
    <row r="575" spans="1:5" x14ac:dyDescent="0.2">
      <c r="A575" s="27" t="s">
        <v>704</v>
      </c>
      <c r="B575" s="59" t="s">
        <v>216</v>
      </c>
      <c r="C575" s="25" t="s">
        <v>184</v>
      </c>
      <c r="D575" s="26">
        <f>330+110</f>
        <v>440</v>
      </c>
      <c r="E575" s="24" t="s">
        <v>1298</v>
      </c>
    </row>
    <row r="576" spans="1:5" x14ac:dyDescent="0.2">
      <c r="A576" s="27" t="s">
        <v>1419</v>
      </c>
      <c r="B576" s="59" t="s">
        <v>1420</v>
      </c>
      <c r="C576" s="25" t="s">
        <v>555</v>
      </c>
      <c r="D576" s="26">
        <f>3800+600</f>
        <v>4400</v>
      </c>
      <c r="E576" s="24" t="s">
        <v>1423</v>
      </c>
    </row>
    <row r="577" spans="1:5" ht="26" x14ac:dyDescent="0.2">
      <c r="A577" s="27" t="s">
        <v>705</v>
      </c>
      <c r="B577" s="59" t="s">
        <v>799</v>
      </c>
      <c r="C577" s="25" t="s">
        <v>184</v>
      </c>
      <c r="D577" s="26">
        <f>320+80</f>
        <v>400</v>
      </c>
      <c r="E577" s="27" t="s">
        <v>1310</v>
      </c>
    </row>
    <row r="578" spans="1:5" ht="13.5" customHeight="1" x14ac:dyDescent="0.2">
      <c r="A578" s="122" t="s">
        <v>8</v>
      </c>
      <c r="B578" s="122"/>
      <c r="C578" s="122"/>
      <c r="D578" s="122"/>
      <c r="E578" s="122"/>
    </row>
    <row r="579" spans="1:5" ht="15" customHeight="1" x14ac:dyDescent="0.2">
      <c r="A579" s="27" t="s">
        <v>9</v>
      </c>
      <c r="B579" s="59" t="s">
        <v>10</v>
      </c>
      <c r="C579" s="25" t="s">
        <v>522</v>
      </c>
      <c r="D579" s="26">
        <f>190+200</f>
        <v>390</v>
      </c>
      <c r="E579" s="24" t="s">
        <v>1298</v>
      </c>
    </row>
    <row r="580" spans="1:5" s="5" customFormat="1" ht="15" customHeight="1" x14ac:dyDescent="0.2">
      <c r="A580" s="27" t="s">
        <v>11</v>
      </c>
      <c r="B580" s="59" t="s">
        <v>12</v>
      </c>
      <c r="C580" s="25" t="s">
        <v>522</v>
      </c>
      <c r="D580" s="26">
        <f>210+190</f>
        <v>400</v>
      </c>
      <c r="E580" s="27" t="s">
        <v>1314</v>
      </c>
    </row>
    <row r="581" spans="1:5" ht="15" customHeight="1" x14ac:dyDescent="0.2">
      <c r="A581" s="27" t="s">
        <v>487</v>
      </c>
      <c r="B581" s="59" t="s">
        <v>486</v>
      </c>
      <c r="C581" s="25" t="s">
        <v>184</v>
      </c>
      <c r="D581" s="26">
        <f>150+110</f>
        <v>260</v>
      </c>
      <c r="E581" s="27" t="s">
        <v>1310</v>
      </c>
    </row>
    <row r="582" spans="1:5" ht="15" customHeight="1" x14ac:dyDescent="0.2">
      <c r="A582" s="27" t="s">
        <v>497</v>
      </c>
      <c r="B582" s="59" t="s">
        <v>480</v>
      </c>
      <c r="C582" s="25" t="s">
        <v>184</v>
      </c>
      <c r="D582" s="26">
        <f>160+100</f>
        <v>260</v>
      </c>
      <c r="E582" s="27" t="s">
        <v>1310</v>
      </c>
    </row>
    <row r="583" spans="1:5" ht="15" customHeight="1" x14ac:dyDescent="0.2">
      <c r="A583" s="27" t="s">
        <v>13</v>
      </c>
      <c r="B583" s="59" t="s">
        <v>481</v>
      </c>
      <c r="C583" s="25" t="s">
        <v>179</v>
      </c>
      <c r="D583" s="26">
        <f>300+150</f>
        <v>450</v>
      </c>
      <c r="E583" s="27" t="s">
        <v>1310</v>
      </c>
    </row>
    <row r="584" spans="1:5" ht="15" customHeight="1" x14ac:dyDescent="0.2">
      <c r="A584" s="122" t="s">
        <v>724</v>
      </c>
      <c r="B584" s="122"/>
      <c r="C584" s="122"/>
      <c r="D584" s="122"/>
      <c r="E584" s="122"/>
    </row>
    <row r="585" spans="1:5" ht="24" x14ac:dyDescent="0.2">
      <c r="A585" s="28" t="s">
        <v>1456</v>
      </c>
      <c r="B585" s="59" t="s">
        <v>725</v>
      </c>
      <c r="C585" s="25" t="s">
        <v>179</v>
      </c>
      <c r="D585" s="26">
        <f>320+100</f>
        <v>420</v>
      </c>
      <c r="E585" s="32" t="s">
        <v>882</v>
      </c>
    </row>
    <row r="586" spans="1:5" ht="24" x14ac:dyDescent="0.2">
      <c r="A586" s="27" t="s">
        <v>1660</v>
      </c>
      <c r="B586" s="59" t="s">
        <v>726</v>
      </c>
      <c r="C586" s="25" t="s">
        <v>522</v>
      </c>
      <c r="D586" s="26">
        <f>430+250</f>
        <v>680</v>
      </c>
      <c r="E586" s="32" t="s">
        <v>882</v>
      </c>
    </row>
    <row r="587" spans="1:5" ht="26" x14ac:dyDescent="0.2">
      <c r="A587" s="27" t="s">
        <v>727</v>
      </c>
      <c r="B587" s="59" t="s">
        <v>728</v>
      </c>
      <c r="C587" s="25" t="s">
        <v>184</v>
      </c>
      <c r="D587" s="26">
        <f>390+50</f>
        <v>440</v>
      </c>
      <c r="E587" s="24" t="s">
        <v>1298</v>
      </c>
    </row>
    <row r="588" spans="1:5" x14ac:dyDescent="0.2">
      <c r="A588" s="27" t="s">
        <v>1105</v>
      </c>
      <c r="B588" s="59" t="s">
        <v>1106</v>
      </c>
      <c r="C588" s="25" t="s">
        <v>184</v>
      </c>
      <c r="D588" s="26">
        <f>570+230</f>
        <v>800</v>
      </c>
      <c r="E588" s="24" t="s">
        <v>1298</v>
      </c>
    </row>
    <row r="589" spans="1:5" ht="26" x14ac:dyDescent="0.2">
      <c r="A589" s="27" t="s">
        <v>729</v>
      </c>
      <c r="B589" s="59" t="s">
        <v>730</v>
      </c>
      <c r="C589" s="25" t="s">
        <v>184</v>
      </c>
      <c r="D589" s="26">
        <f>310+150</f>
        <v>460</v>
      </c>
      <c r="E589" s="27" t="s">
        <v>1310</v>
      </c>
    </row>
    <row r="590" spans="1:5" ht="15" customHeight="1" x14ac:dyDescent="0.2">
      <c r="A590" s="122" t="s">
        <v>797</v>
      </c>
      <c r="B590" s="122"/>
      <c r="C590" s="122"/>
      <c r="D590" s="122"/>
      <c r="E590" s="122"/>
    </row>
    <row r="591" spans="1:5" x14ac:dyDescent="0.2">
      <c r="A591" s="27" t="s">
        <v>731</v>
      </c>
      <c r="B591" s="59" t="s">
        <v>1057</v>
      </c>
      <c r="C591" s="25" t="s">
        <v>522</v>
      </c>
      <c r="D591" s="26">
        <f>190+200</f>
        <v>390</v>
      </c>
      <c r="E591" s="24" t="s">
        <v>1298</v>
      </c>
    </row>
    <row r="592" spans="1:5" s="5" customFormat="1" ht="26" x14ac:dyDescent="0.2">
      <c r="A592" s="27" t="s">
        <v>732</v>
      </c>
      <c r="B592" s="59" t="s">
        <v>99</v>
      </c>
      <c r="C592" s="25" t="s">
        <v>184</v>
      </c>
      <c r="D592" s="26">
        <f>250+140</f>
        <v>390</v>
      </c>
      <c r="E592" s="24" t="s">
        <v>1298</v>
      </c>
    </row>
    <row r="593" spans="1:5" x14ac:dyDescent="0.2">
      <c r="A593" s="27" t="s">
        <v>733</v>
      </c>
      <c r="B593" s="59" t="s">
        <v>734</v>
      </c>
      <c r="C593" s="25" t="s">
        <v>522</v>
      </c>
      <c r="D593" s="26">
        <f>190+200</f>
        <v>390</v>
      </c>
      <c r="E593" s="24" t="s">
        <v>1314</v>
      </c>
    </row>
    <row r="594" spans="1:5" x14ac:dyDescent="0.2">
      <c r="A594" s="27" t="s">
        <v>864</v>
      </c>
      <c r="B594" s="59" t="s">
        <v>865</v>
      </c>
      <c r="C594" s="28" t="s">
        <v>184</v>
      </c>
      <c r="D594" s="26">
        <f>190+200</f>
        <v>390</v>
      </c>
      <c r="E594" s="24" t="s">
        <v>1298</v>
      </c>
    </row>
    <row r="595" spans="1:5" x14ac:dyDescent="0.2">
      <c r="A595" s="27" t="s">
        <v>735</v>
      </c>
      <c r="B595" s="59" t="s">
        <v>757</v>
      </c>
      <c r="C595" s="25" t="s">
        <v>184</v>
      </c>
      <c r="D595" s="26">
        <f>150+110</f>
        <v>260</v>
      </c>
      <c r="E595" s="27" t="s">
        <v>1310</v>
      </c>
    </row>
    <row r="596" spans="1:5" ht="36" x14ac:dyDescent="0.2">
      <c r="A596" s="27" t="s">
        <v>758</v>
      </c>
      <c r="B596" s="59" t="s">
        <v>759</v>
      </c>
      <c r="C596" s="25" t="s">
        <v>522</v>
      </c>
      <c r="D596" s="26">
        <f>250+150</f>
        <v>400</v>
      </c>
      <c r="E596" s="27" t="s">
        <v>1740</v>
      </c>
    </row>
    <row r="597" spans="1:5" x14ac:dyDescent="0.2">
      <c r="A597" s="27" t="s">
        <v>760</v>
      </c>
      <c r="B597" s="59" t="s">
        <v>761</v>
      </c>
      <c r="C597" s="25" t="s">
        <v>522</v>
      </c>
      <c r="D597" s="26">
        <f t="shared" ref="D597:D598" si="7">250+150</f>
        <v>400</v>
      </c>
      <c r="E597" s="32" t="s">
        <v>879</v>
      </c>
    </row>
    <row r="598" spans="1:5" s="2" customFormat="1" ht="33" x14ac:dyDescent="0.2">
      <c r="A598" s="27" t="s">
        <v>762</v>
      </c>
      <c r="B598" s="59" t="s">
        <v>763</v>
      </c>
      <c r="C598" s="25" t="s">
        <v>522</v>
      </c>
      <c r="D598" s="26">
        <f t="shared" si="7"/>
        <v>400</v>
      </c>
      <c r="E598" s="34" t="s">
        <v>1740</v>
      </c>
    </row>
    <row r="599" spans="1:5" ht="24" x14ac:dyDescent="0.2">
      <c r="A599" s="27" t="s">
        <v>488</v>
      </c>
      <c r="B599" s="59" t="s">
        <v>472</v>
      </c>
      <c r="C599" s="25" t="s">
        <v>184</v>
      </c>
      <c r="D599" s="26">
        <f>260+80</f>
        <v>340</v>
      </c>
      <c r="E599" s="24" t="s">
        <v>882</v>
      </c>
    </row>
    <row r="600" spans="1:5" x14ac:dyDescent="0.2">
      <c r="A600" s="27" t="s">
        <v>764</v>
      </c>
      <c r="B600" s="59" t="s">
        <v>765</v>
      </c>
      <c r="C600" s="25" t="s">
        <v>184</v>
      </c>
      <c r="D600" s="26">
        <f>320+50</f>
        <v>370</v>
      </c>
      <c r="E600" s="27" t="s">
        <v>1302</v>
      </c>
    </row>
    <row r="601" spans="1:5" ht="26" x14ac:dyDescent="0.2">
      <c r="A601" s="27" t="s">
        <v>766</v>
      </c>
      <c r="B601" s="59" t="s">
        <v>767</v>
      </c>
      <c r="C601" s="25" t="s">
        <v>522</v>
      </c>
      <c r="D601" s="26">
        <f>590+250</f>
        <v>840</v>
      </c>
      <c r="E601" s="27" t="s">
        <v>1346</v>
      </c>
    </row>
    <row r="602" spans="1:5" ht="26" x14ac:dyDescent="0.2">
      <c r="A602" s="27" t="s">
        <v>768</v>
      </c>
      <c r="B602" s="59" t="s">
        <v>513</v>
      </c>
      <c r="C602" s="25" t="s">
        <v>522</v>
      </c>
      <c r="D602" s="26">
        <f>900+100</f>
        <v>1000</v>
      </c>
      <c r="E602" s="27" t="s">
        <v>1346</v>
      </c>
    </row>
    <row r="603" spans="1:5" ht="15" customHeight="1" x14ac:dyDescent="0.2">
      <c r="A603" s="161" t="s">
        <v>1416</v>
      </c>
      <c r="B603" s="162"/>
      <c r="C603" s="162"/>
      <c r="D603" s="162"/>
      <c r="E603" s="163"/>
    </row>
    <row r="604" spans="1:5" ht="36" x14ac:dyDescent="0.2">
      <c r="A604" s="56" t="s">
        <v>1718</v>
      </c>
      <c r="B604" s="54" t="s">
        <v>1417</v>
      </c>
      <c r="C604" s="40" t="s">
        <v>184</v>
      </c>
      <c r="D604" s="41">
        <f>420+50</f>
        <v>470</v>
      </c>
      <c r="E604" s="24" t="s">
        <v>1713</v>
      </c>
    </row>
    <row r="605" spans="1:5" ht="18" x14ac:dyDescent="0.2">
      <c r="A605" s="157" t="s">
        <v>471</v>
      </c>
      <c r="B605" s="157"/>
      <c r="C605" s="157"/>
      <c r="D605" s="157"/>
      <c r="E605" s="157"/>
    </row>
    <row r="606" spans="1:5" s="5" customFormat="1" ht="15" customHeight="1" x14ac:dyDescent="0.2">
      <c r="A606" s="153" t="s">
        <v>450</v>
      </c>
      <c r="B606" s="153"/>
      <c r="C606" s="153"/>
      <c r="D606" s="153"/>
      <c r="E606" s="153"/>
    </row>
    <row r="607" spans="1:5" s="5" customFormat="1" ht="24" x14ac:dyDescent="0.2">
      <c r="A607" s="27" t="s">
        <v>14</v>
      </c>
      <c r="B607" s="59" t="s">
        <v>15</v>
      </c>
      <c r="C607" s="25" t="s">
        <v>184</v>
      </c>
      <c r="D607" s="29">
        <f>470+100</f>
        <v>570</v>
      </c>
      <c r="E607" s="32" t="s">
        <v>882</v>
      </c>
    </row>
    <row r="608" spans="1:5" s="5" customFormat="1" ht="15" customHeight="1" x14ac:dyDescent="0.2">
      <c r="A608" s="153" t="s">
        <v>21</v>
      </c>
      <c r="B608" s="153"/>
      <c r="C608" s="153"/>
      <c r="D608" s="153"/>
      <c r="E608" s="153"/>
    </row>
    <row r="609" spans="1:5" x14ac:dyDescent="0.2">
      <c r="A609" s="27" t="s">
        <v>22</v>
      </c>
      <c r="B609" s="59" t="s">
        <v>23</v>
      </c>
      <c r="C609" s="25" t="s">
        <v>522</v>
      </c>
      <c r="D609" s="29">
        <f>200+200</f>
        <v>400</v>
      </c>
      <c r="E609" s="27" t="s">
        <v>1298</v>
      </c>
    </row>
    <row r="610" spans="1:5" ht="26" x14ac:dyDescent="0.2">
      <c r="A610" s="27" t="s">
        <v>1655</v>
      </c>
      <c r="B610" s="59" t="s">
        <v>25</v>
      </c>
      <c r="C610" s="25" t="s">
        <v>522</v>
      </c>
      <c r="D610" s="29">
        <f>310+200</f>
        <v>510</v>
      </c>
      <c r="E610" s="27" t="s">
        <v>1298</v>
      </c>
    </row>
    <row r="611" spans="1:5" x14ac:dyDescent="0.2">
      <c r="A611" s="27" t="s">
        <v>26</v>
      </c>
      <c r="B611" s="59" t="s">
        <v>27</v>
      </c>
      <c r="C611" s="25" t="s">
        <v>522</v>
      </c>
      <c r="D611" s="29">
        <f>200+200</f>
        <v>400</v>
      </c>
      <c r="E611" s="27" t="s">
        <v>1298</v>
      </c>
    </row>
    <row r="612" spans="1:5" x14ac:dyDescent="0.2">
      <c r="A612" s="27" t="s">
        <v>28</v>
      </c>
      <c r="B612" s="59" t="s">
        <v>29</v>
      </c>
      <c r="C612" s="25" t="s">
        <v>522</v>
      </c>
      <c r="D612" s="29">
        <f>200+200</f>
        <v>400</v>
      </c>
      <c r="E612" s="27" t="s">
        <v>1298</v>
      </c>
    </row>
    <row r="613" spans="1:5" x14ac:dyDescent="0.2">
      <c r="A613" s="27" t="s">
        <v>30</v>
      </c>
      <c r="B613" s="59" t="s">
        <v>31</v>
      </c>
      <c r="C613" s="25" t="s">
        <v>522</v>
      </c>
      <c r="D613" s="29">
        <f>250+240</f>
        <v>490</v>
      </c>
      <c r="E613" s="27" t="s">
        <v>1298</v>
      </c>
    </row>
    <row r="614" spans="1:5" ht="33" x14ac:dyDescent="0.2">
      <c r="A614" s="27" t="s">
        <v>32</v>
      </c>
      <c r="B614" s="59" t="s">
        <v>33</v>
      </c>
      <c r="C614" s="25" t="s">
        <v>184</v>
      </c>
      <c r="D614" s="29">
        <f>470+100</f>
        <v>570</v>
      </c>
      <c r="E614" s="35" t="s">
        <v>1347</v>
      </c>
    </row>
    <row r="615" spans="1:5" ht="33" x14ac:dyDescent="0.2">
      <c r="A615" s="27" t="s">
        <v>1044</v>
      </c>
      <c r="B615" s="59" t="s">
        <v>1045</v>
      </c>
      <c r="C615" s="25" t="s">
        <v>522</v>
      </c>
      <c r="D615" s="26">
        <f>340+190</f>
        <v>530</v>
      </c>
      <c r="E615" s="35" t="s">
        <v>1347</v>
      </c>
    </row>
    <row r="616" spans="1:5" s="2" customFormat="1" ht="52" x14ac:dyDescent="0.2">
      <c r="A616" s="27" t="s">
        <v>889</v>
      </c>
      <c r="B616" s="33" t="s">
        <v>1802</v>
      </c>
      <c r="C616" s="25" t="s">
        <v>184</v>
      </c>
      <c r="D616" s="29">
        <f>400+190</f>
        <v>590</v>
      </c>
      <c r="E616" s="27" t="s">
        <v>1314</v>
      </c>
    </row>
    <row r="617" spans="1:5" x14ac:dyDescent="0.2">
      <c r="A617" s="27" t="s">
        <v>80</v>
      </c>
      <c r="B617" s="59" t="s">
        <v>81</v>
      </c>
      <c r="C617" s="28" t="s">
        <v>184</v>
      </c>
      <c r="D617" s="29">
        <f>180+50</f>
        <v>230</v>
      </c>
      <c r="E617" s="27" t="s">
        <v>1298</v>
      </c>
    </row>
    <row r="618" spans="1:5" s="5" customFormat="1" x14ac:dyDescent="0.2">
      <c r="A618" s="28" t="s">
        <v>1457</v>
      </c>
      <c r="B618" s="59" t="s">
        <v>1458</v>
      </c>
      <c r="C618" s="28" t="s">
        <v>184</v>
      </c>
      <c r="D618" s="29">
        <f t="shared" ref="D618:D619" si="8">180+50</f>
        <v>230</v>
      </c>
      <c r="E618" s="28" t="s">
        <v>1298</v>
      </c>
    </row>
    <row r="619" spans="1:5" s="16" customFormat="1" ht="19" x14ac:dyDescent="0.2">
      <c r="A619" s="27" t="s">
        <v>34</v>
      </c>
      <c r="B619" s="59" t="s">
        <v>35</v>
      </c>
      <c r="C619" s="25" t="s">
        <v>184</v>
      </c>
      <c r="D619" s="29">
        <f t="shared" si="8"/>
        <v>230</v>
      </c>
      <c r="E619" s="27" t="s">
        <v>1298</v>
      </c>
    </row>
    <row r="620" spans="1:5" ht="15" customHeight="1" x14ac:dyDescent="0.2">
      <c r="A620" s="153" t="s">
        <v>36</v>
      </c>
      <c r="B620" s="153"/>
      <c r="C620" s="153"/>
      <c r="D620" s="153"/>
      <c r="E620" s="153"/>
    </row>
    <row r="621" spans="1:5" ht="24" x14ac:dyDescent="0.2">
      <c r="A621" s="27" t="s">
        <v>37</v>
      </c>
      <c r="B621" s="59" t="s">
        <v>38</v>
      </c>
      <c r="C621" s="25" t="s">
        <v>184</v>
      </c>
      <c r="D621" s="29">
        <f>480+80</f>
        <v>560</v>
      </c>
      <c r="E621" s="32" t="s">
        <v>1348</v>
      </c>
    </row>
    <row r="622" spans="1:5" x14ac:dyDescent="0.2">
      <c r="A622" s="27" t="s">
        <v>39</v>
      </c>
      <c r="B622" s="59" t="s">
        <v>40</v>
      </c>
      <c r="C622" s="25" t="s">
        <v>184</v>
      </c>
      <c r="D622" s="29">
        <f>150+110</f>
        <v>260</v>
      </c>
      <c r="E622" s="24" t="s">
        <v>1310</v>
      </c>
    </row>
    <row r="623" spans="1:5" ht="26" x14ac:dyDescent="0.2">
      <c r="A623" s="27" t="s">
        <v>503</v>
      </c>
      <c r="B623" s="87" t="s">
        <v>871</v>
      </c>
      <c r="C623" s="25" t="s">
        <v>179</v>
      </c>
      <c r="D623" s="29">
        <v>550</v>
      </c>
      <c r="E623" s="42" t="s">
        <v>883</v>
      </c>
    </row>
    <row r="624" spans="1:5" ht="15" customHeight="1" x14ac:dyDescent="0.2">
      <c r="A624" s="153" t="s">
        <v>16</v>
      </c>
      <c r="B624" s="153"/>
      <c r="C624" s="153"/>
      <c r="D624" s="153"/>
      <c r="E624" s="153"/>
    </row>
    <row r="625" spans="1:5" ht="40" customHeight="1" x14ac:dyDescent="0.2">
      <c r="A625" s="27" t="s">
        <v>17</v>
      </c>
      <c r="B625" s="59" t="s">
        <v>18</v>
      </c>
      <c r="C625" s="25" t="s">
        <v>184</v>
      </c>
      <c r="D625" s="29">
        <f>250+200</f>
        <v>450</v>
      </c>
      <c r="E625" s="24" t="s">
        <v>1488</v>
      </c>
    </row>
    <row r="626" spans="1:5" ht="15" customHeight="1" x14ac:dyDescent="0.2">
      <c r="A626" s="27" t="s">
        <v>19</v>
      </c>
      <c r="B626" s="59" t="s">
        <v>20</v>
      </c>
      <c r="C626" s="28" t="s">
        <v>522</v>
      </c>
      <c r="D626" s="29">
        <f>250+200</f>
        <v>450</v>
      </c>
      <c r="E626" s="27" t="s">
        <v>1298</v>
      </c>
    </row>
    <row r="627" spans="1:5" ht="15" customHeight="1" x14ac:dyDescent="0.2">
      <c r="A627" s="27" t="s">
        <v>855</v>
      </c>
      <c r="B627" s="59" t="s">
        <v>854</v>
      </c>
      <c r="C627" s="25" t="s">
        <v>184</v>
      </c>
      <c r="D627" s="29">
        <f>360+120</f>
        <v>480</v>
      </c>
      <c r="E627" s="27" t="s">
        <v>1298</v>
      </c>
    </row>
    <row r="628" spans="1:5" ht="15" customHeight="1" x14ac:dyDescent="0.2">
      <c r="A628" s="153" t="s">
        <v>46</v>
      </c>
      <c r="B628" s="153"/>
      <c r="C628" s="153"/>
      <c r="D628" s="153"/>
      <c r="E628" s="153"/>
    </row>
    <row r="629" spans="1:5" s="5" customFormat="1" ht="15" customHeight="1" x14ac:dyDescent="0.2">
      <c r="A629" s="27" t="s">
        <v>47</v>
      </c>
      <c r="B629" s="59" t="s">
        <v>48</v>
      </c>
      <c r="C629" s="25" t="s">
        <v>179</v>
      </c>
      <c r="D629" s="29">
        <f>280+120</f>
        <v>400</v>
      </c>
      <c r="E629" s="27" t="s">
        <v>1298</v>
      </c>
    </row>
    <row r="630" spans="1:5" s="4" customFormat="1" ht="15" customHeight="1" x14ac:dyDescent="0.2">
      <c r="A630" s="27" t="s">
        <v>49</v>
      </c>
      <c r="B630" s="59" t="s">
        <v>63</v>
      </c>
      <c r="C630" s="25" t="s">
        <v>184</v>
      </c>
      <c r="D630" s="29">
        <f>320+240</f>
        <v>560</v>
      </c>
      <c r="E630" s="27" t="s">
        <v>1298</v>
      </c>
    </row>
    <row r="631" spans="1:5" s="5" customFormat="1" ht="15" customHeight="1" x14ac:dyDescent="0.2">
      <c r="A631" s="28" t="s">
        <v>1686</v>
      </c>
      <c r="B631" s="62" t="s">
        <v>1687</v>
      </c>
      <c r="C631" s="25" t="s">
        <v>184</v>
      </c>
      <c r="D631" s="30">
        <f>350+220</f>
        <v>570</v>
      </c>
      <c r="E631" s="28" t="s">
        <v>1338</v>
      </c>
    </row>
    <row r="632" spans="1:5" ht="30" customHeight="1" x14ac:dyDescent="0.2">
      <c r="A632" s="27" t="s">
        <v>64</v>
      </c>
      <c r="B632" s="59" t="s">
        <v>65</v>
      </c>
      <c r="C632" s="25" t="s">
        <v>179</v>
      </c>
      <c r="D632" s="29">
        <f>400+170</f>
        <v>570</v>
      </c>
      <c r="E632" s="32" t="s">
        <v>874</v>
      </c>
    </row>
    <row r="633" spans="1:5" ht="16" customHeight="1" x14ac:dyDescent="0.2">
      <c r="A633" s="27" t="s">
        <v>66</v>
      </c>
      <c r="B633" s="59" t="s">
        <v>67</v>
      </c>
      <c r="C633" s="25" t="s">
        <v>184</v>
      </c>
      <c r="D633" s="29">
        <f>170+100</f>
        <v>270</v>
      </c>
      <c r="E633" s="24" t="s">
        <v>1310</v>
      </c>
    </row>
    <row r="634" spans="1:5" ht="14" customHeight="1" x14ac:dyDescent="0.2">
      <c r="A634" s="153" t="s">
        <v>41</v>
      </c>
      <c r="B634" s="153"/>
      <c r="C634" s="153"/>
      <c r="D634" s="153"/>
      <c r="E634" s="153"/>
    </row>
    <row r="635" spans="1:5" ht="22" x14ac:dyDescent="0.2">
      <c r="A635" s="27" t="s">
        <v>42</v>
      </c>
      <c r="B635" s="59" t="s">
        <v>43</v>
      </c>
      <c r="C635" s="25" t="s">
        <v>522</v>
      </c>
      <c r="D635" s="29">
        <f>310+150</f>
        <v>460</v>
      </c>
      <c r="E635" s="35" t="s">
        <v>1077</v>
      </c>
    </row>
    <row r="636" spans="1:5" ht="20" customHeight="1" x14ac:dyDescent="0.2">
      <c r="A636" s="27" t="s">
        <v>44</v>
      </c>
      <c r="B636" s="59" t="s">
        <v>45</v>
      </c>
      <c r="C636" s="25" t="s">
        <v>184</v>
      </c>
      <c r="D636" s="29">
        <f>150+110</f>
        <v>260</v>
      </c>
      <c r="E636" s="24" t="s">
        <v>1310</v>
      </c>
    </row>
    <row r="637" spans="1:5" ht="15" customHeight="1" x14ac:dyDescent="0.2">
      <c r="A637" s="148" t="s">
        <v>68</v>
      </c>
      <c r="B637" s="148"/>
      <c r="C637" s="148"/>
      <c r="D637" s="148"/>
      <c r="E637" s="148"/>
    </row>
    <row r="638" spans="1:5" ht="15" customHeight="1" x14ac:dyDescent="0.2">
      <c r="A638" s="27" t="s">
        <v>69</v>
      </c>
      <c r="B638" s="59" t="s">
        <v>70</v>
      </c>
      <c r="C638" s="25" t="s">
        <v>179</v>
      </c>
      <c r="D638" s="29">
        <f>125+120</f>
        <v>245</v>
      </c>
      <c r="E638" s="27" t="s">
        <v>1298</v>
      </c>
    </row>
    <row r="639" spans="1:5" ht="15" customHeight="1" x14ac:dyDescent="0.2">
      <c r="A639" s="27" t="s">
        <v>71</v>
      </c>
      <c r="B639" s="59" t="s">
        <v>72</v>
      </c>
      <c r="C639" s="25" t="s">
        <v>179</v>
      </c>
      <c r="D639" s="29">
        <f>120+100</f>
        <v>220</v>
      </c>
      <c r="E639" s="27" t="s">
        <v>1298</v>
      </c>
    </row>
    <row r="640" spans="1:5" ht="15" customHeight="1" x14ac:dyDescent="0.2">
      <c r="A640" s="27" t="s">
        <v>149</v>
      </c>
      <c r="B640" s="59" t="s">
        <v>73</v>
      </c>
      <c r="C640" s="25" t="s">
        <v>179</v>
      </c>
      <c r="D640" s="29">
        <f>100+60</f>
        <v>160</v>
      </c>
      <c r="E640" s="27" t="s">
        <v>1298</v>
      </c>
    </row>
    <row r="641" spans="1:5" ht="15" customHeight="1" x14ac:dyDescent="0.2">
      <c r="A641" s="27" t="s">
        <v>74</v>
      </c>
      <c r="B641" s="59" t="s">
        <v>75</v>
      </c>
      <c r="C641" s="25" t="s">
        <v>184</v>
      </c>
      <c r="D641" s="29">
        <f>100+60</f>
        <v>160</v>
      </c>
      <c r="E641" s="27" t="s">
        <v>1298</v>
      </c>
    </row>
    <row r="642" spans="1:5" ht="15" customHeight="1" x14ac:dyDescent="0.2">
      <c r="A642" s="27" t="s">
        <v>1287</v>
      </c>
      <c r="B642" s="59" t="s">
        <v>1022</v>
      </c>
      <c r="C642" s="28" t="s">
        <v>179</v>
      </c>
      <c r="D642" s="26">
        <f>310+160</f>
        <v>470</v>
      </c>
      <c r="E642" s="27" t="s">
        <v>1298</v>
      </c>
    </row>
    <row r="643" spans="1:5" ht="15" customHeight="1" x14ac:dyDescent="0.2">
      <c r="A643" s="27" t="s">
        <v>1288</v>
      </c>
      <c r="B643" s="59" t="s">
        <v>1782</v>
      </c>
      <c r="C643" s="28" t="s">
        <v>179</v>
      </c>
      <c r="D643" s="26">
        <f>110+70</f>
        <v>180</v>
      </c>
      <c r="E643" s="27" t="s">
        <v>1298</v>
      </c>
    </row>
    <row r="644" spans="1:5" ht="15" customHeight="1" x14ac:dyDescent="0.2">
      <c r="A644" s="27" t="s">
        <v>1404</v>
      </c>
      <c r="B644" s="59" t="s">
        <v>1783</v>
      </c>
      <c r="C644" s="28" t="s">
        <v>179</v>
      </c>
      <c r="D644" s="26">
        <f>160+50</f>
        <v>210</v>
      </c>
      <c r="E644" s="27" t="s">
        <v>1298</v>
      </c>
    </row>
    <row r="645" spans="1:5" ht="15" customHeight="1" x14ac:dyDescent="0.2">
      <c r="A645" s="27" t="s">
        <v>1289</v>
      </c>
      <c r="B645" s="59" t="s">
        <v>1784</v>
      </c>
      <c r="C645" s="28" t="s">
        <v>179</v>
      </c>
      <c r="D645" s="26">
        <f>160+50</f>
        <v>210</v>
      </c>
      <c r="E645" s="27" t="s">
        <v>1298</v>
      </c>
    </row>
    <row r="646" spans="1:5" ht="15" customHeight="1" x14ac:dyDescent="0.2">
      <c r="A646" s="27" t="s">
        <v>1442</v>
      </c>
      <c r="B646" s="59" t="s">
        <v>1785</v>
      </c>
      <c r="C646" s="28" t="s">
        <v>179</v>
      </c>
      <c r="D646" s="26">
        <f>90+60</f>
        <v>150</v>
      </c>
      <c r="E646" s="27" t="s">
        <v>1298</v>
      </c>
    </row>
    <row r="647" spans="1:5" ht="15" customHeight="1" x14ac:dyDescent="0.2">
      <c r="A647" s="27" t="s">
        <v>1290</v>
      </c>
      <c r="B647" s="59" t="s">
        <v>1786</v>
      </c>
      <c r="C647" s="28" t="s">
        <v>179</v>
      </c>
      <c r="D647" s="26">
        <f>110+60</f>
        <v>170</v>
      </c>
      <c r="E647" s="27" t="s">
        <v>1298</v>
      </c>
    </row>
    <row r="648" spans="1:5" ht="15" customHeight="1" x14ac:dyDescent="0.2">
      <c r="A648" s="27" t="s">
        <v>1291</v>
      </c>
      <c r="B648" s="59" t="s">
        <v>1028</v>
      </c>
      <c r="C648" s="28" t="s">
        <v>179</v>
      </c>
      <c r="D648" s="26">
        <f>210+160</f>
        <v>370</v>
      </c>
      <c r="E648" s="27" t="s">
        <v>1298</v>
      </c>
    </row>
    <row r="649" spans="1:5" ht="15" customHeight="1" x14ac:dyDescent="0.2">
      <c r="A649" s="27" t="s">
        <v>1656</v>
      </c>
      <c r="B649" s="59" t="s">
        <v>1787</v>
      </c>
      <c r="C649" s="28" t="s">
        <v>179</v>
      </c>
      <c r="D649" s="26">
        <f>140+110</f>
        <v>250</v>
      </c>
      <c r="E649" s="27" t="s">
        <v>1298</v>
      </c>
    </row>
    <row r="650" spans="1:5" ht="15" customHeight="1" x14ac:dyDescent="0.2">
      <c r="A650" s="27" t="s">
        <v>1292</v>
      </c>
      <c r="B650" s="59" t="s">
        <v>1788</v>
      </c>
      <c r="C650" s="28" t="s">
        <v>179</v>
      </c>
      <c r="D650" s="26">
        <f>100+60</f>
        <v>160</v>
      </c>
      <c r="E650" s="27" t="s">
        <v>1298</v>
      </c>
    </row>
    <row r="651" spans="1:5" ht="15" customHeight="1" x14ac:dyDescent="0.2">
      <c r="A651" s="27" t="s">
        <v>1293</v>
      </c>
      <c r="B651" s="59" t="s">
        <v>1789</v>
      </c>
      <c r="C651" s="28" t="s">
        <v>179</v>
      </c>
      <c r="D651" s="26">
        <f>110+60</f>
        <v>170</v>
      </c>
      <c r="E651" s="27" t="s">
        <v>1298</v>
      </c>
    </row>
    <row r="652" spans="1:5" ht="15" customHeight="1" x14ac:dyDescent="0.2">
      <c r="A652" s="27" t="s">
        <v>1294</v>
      </c>
      <c r="B652" s="59" t="s">
        <v>1790</v>
      </c>
      <c r="C652" s="25" t="s">
        <v>179</v>
      </c>
      <c r="D652" s="29">
        <f>100+60</f>
        <v>160</v>
      </c>
      <c r="E652" s="27" t="s">
        <v>1298</v>
      </c>
    </row>
    <row r="653" spans="1:5" ht="15" customHeight="1" x14ac:dyDescent="0.2">
      <c r="A653" s="27" t="s">
        <v>1295</v>
      </c>
      <c r="B653" s="59" t="s">
        <v>1791</v>
      </c>
      <c r="C653" s="25" t="s">
        <v>179</v>
      </c>
      <c r="D653" s="29">
        <f>210+70</f>
        <v>280</v>
      </c>
      <c r="E653" s="27" t="s">
        <v>1298</v>
      </c>
    </row>
    <row r="654" spans="1:5" s="2" customFormat="1" ht="15" customHeight="1" x14ac:dyDescent="0.2">
      <c r="A654" s="27" t="s">
        <v>1296</v>
      </c>
      <c r="B654" s="59" t="s">
        <v>1792</v>
      </c>
      <c r="C654" s="25" t="s">
        <v>179</v>
      </c>
      <c r="D654" s="26">
        <f>210+50</f>
        <v>260</v>
      </c>
      <c r="E654" s="27" t="s">
        <v>1298</v>
      </c>
    </row>
    <row r="655" spans="1:5" s="2" customFormat="1" ht="15" customHeight="1" x14ac:dyDescent="0.2">
      <c r="A655" s="27" t="s">
        <v>76</v>
      </c>
      <c r="B655" s="59" t="s">
        <v>77</v>
      </c>
      <c r="C655" s="25" t="s">
        <v>179</v>
      </c>
      <c r="D655" s="29">
        <f>380+220</f>
        <v>600</v>
      </c>
      <c r="E655" s="85" t="s">
        <v>1300</v>
      </c>
    </row>
    <row r="656" spans="1:5" s="2" customFormat="1" ht="15" customHeight="1" x14ac:dyDescent="0.2">
      <c r="A656" s="27" t="s">
        <v>1297</v>
      </c>
      <c r="B656" s="59" t="s">
        <v>1793</v>
      </c>
      <c r="C656" s="25" t="s">
        <v>179</v>
      </c>
      <c r="D656" s="29">
        <f>110+70</f>
        <v>180</v>
      </c>
      <c r="E656" s="27" t="s">
        <v>1298</v>
      </c>
    </row>
    <row r="657" spans="1:5" s="2" customFormat="1" ht="16" customHeight="1" x14ac:dyDescent="0.2">
      <c r="A657" s="148" t="s">
        <v>78</v>
      </c>
      <c r="B657" s="148"/>
      <c r="C657" s="148"/>
      <c r="D657" s="148"/>
      <c r="E657" s="148"/>
    </row>
    <row r="658" spans="1:5" s="2" customFormat="1" ht="70.25" customHeight="1" x14ac:dyDescent="0.2">
      <c r="A658" s="27" t="s">
        <v>79</v>
      </c>
      <c r="B658" s="59" t="s">
        <v>514</v>
      </c>
      <c r="C658" s="25" t="s">
        <v>184</v>
      </c>
      <c r="D658" s="29">
        <f>180+140</f>
        <v>320</v>
      </c>
      <c r="E658" s="27" t="s">
        <v>1298</v>
      </c>
    </row>
    <row r="659" spans="1:5" s="2" customFormat="1" ht="24" x14ac:dyDescent="0.2">
      <c r="A659" s="86" t="s">
        <v>1795</v>
      </c>
      <c r="B659" s="87" t="s">
        <v>1799</v>
      </c>
      <c r="C659" s="71" t="s">
        <v>179</v>
      </c>
      <c r="D659" s="26">
        <v>1640</v>
      </c>
      <c r="E659" s="86" t="s">
        <v>1796</v>
      </c>
    </row>
    <row r="660" spans="1:5" s="2" customFormat="1" ht="26" x14ac:dyDescent="0.2">
      <c r="A660" s="27" t="s">
        <v>1657</v>
      </c>
      <c r="B660" s="59" t="s">
        <v>853</v>
      </c>
      <c r="C660" s="25" t="s">
        <v>184</v>
      </c>
      <c r="D660" s="25">
        <f>470+170</f>
        <v>640</v>
      </c>
      <c r="E660" s="27" t="s">
        <v>1298</v>
      </c>
    </row>
    <row r="661" spans="1:5" s="2" customFormat="1" ht="16" customHeight="1" x14ac:dyDescent="0.2">
      <c r="A661" s="27" t="s">
        <v>1071</v>
      </c>
      <c r="B661" s="59" t="s">
        <v>1072</v>
      </c>
      <c r="C661" s="25" t="s">
        <v>184</v>
      </c>
      <c r="D661" s="26">
        <f>360+60</f>
        <v>420</v>
      </c>
      <c r="E661" s="27" t="s">
        <v>1298</v>
      </c>
    </row>
    <row r="662" spans="1:5" s="2" customFormat="1" x14ac:dyDescent="0.2">
      <c r="A662" s="50" t="s">
        <v>475</v>
      </c>
      <c r="B662" s="59" t="s">
        <v>24</v>
      </c>
      <c r="C662" s="25" t="s">
        <v>179</v>
      </c>
      <c r="D662" s="29">
        <f>2100+450</f>
        <v>2550</v>
      </c>
      <c r="E662" s="43" t="s">
        <v>1338</v>
      </c>
    </row>
    <row r="663" spans="1:5" s="2" customFormat="1" ht="36" x14ac:dyDescent="0.2">
      <c r="A663" s="27" t="s">
        <v>120</v>
      </c>
      <c r="B663" s="59" t="s">
        <v>694</v>
      </c>
      <c r="C663" s="25" t="s">
        <v>522</v>
      </c>
      <c r="D663" s="29">
        <f>350+240</f>
        <v>590</v>
      </c>
      <c r="E663" s="27" t="s">
        <v>1342</v>
      </c>
    </row>
    <row r="664" spans="1:5" s="2" customFormat="1" ht="16" customHeight="1" x14ac:dyDescent="0.2">
      <c r="A664" s="148" t="s">
        <v>83</v>
      </c>
      <c r="B664" s="148"/>
      <c r="C664" s="148"/>
      <c r="D664" s="148"/>
      <c r="E664" s="148"/>
    </row>
    <row r="665" spans="1:5" ht="27" customHeight="1" x14ac:dyDescent="0.2">
      <c r="A665" s="27" t="s">
        <v>1358</v>
      </c>
      <c r="B665" s="121" t="s">
        <v>1661</v>
      </c>
      <c r="C665" s="121"/>
      <c r="D665" s="29">
        <f>240+340</f>
        <v>580</v>
      </c>
      <c r="E665" s="24" t="s">
        <v>1316</v>
      </c>
    </row>
    <row r="666" spans="1:5" ht="30" customHeight="1" x14ac:dyDescent="0.2">
      <c r="A666" s="27" t="s">
        <v>1354</v>
      </c>
      <c r="B666" s="121" t="s">
        <v>1355</v>
      </c>
      <c r="C666" s="121"/>
      <c r="D666" s="29">
        <f>240+340</f>
        <v>580</v>
      </c>
      <c r="E666" s="24" t="s">
        <v>1316</v>
      </c>
    </row>
    <row r="667" spans="1:5" s="5" customFormat="1" ht="20.25" customHeight="1" x14ac:dyDescent="0.2">
      <c r="A667" s="27" t="s">
        <v>866</v>
      </c>
      <c r="B667" s="121" t="s">
        <v>499</v>
      </c>
      <c r="C667" s="121"/>
      <c r="D667" s="29">
        <f>240+340</f>
        <v>580</v>
      </c>
      <c r="E667" s="24" t="s">
        <v>1316</v>
      </c>
    </row>
    <row r="668" spans="1:5" ht="27" customHeight="1" x14ac:dyDescent="0.2">
      <c r="A668" s="27" t="s">
        <v>867</v>
      </c>
      <c r="B668" s="121" t="s">
        <v>1356</v>
      </c>
      <c r="C668" s="121"/>
      <c r="D668" s="29">
        <f>380+350</f>
        <v>730</v>
      </c>
      <c r="E668" s="24" t="s">
        <v>1316</v>
      </c>
    </row>
    <row r="669" spans="1:5" ht="30" customHeight="1" x14ac:dyDescent="0.2">
      <c r="A669" s="27" t="s">
        <v>868</v>
      </c>
      <c r="B669" s="121" t="s">
        <v>1357</v>
      </c>
      <c r="C669" s="121"/>
      <c r="D669" s="29">
        <f>650+600</f>
        <v>1250</v>
      </c>
      <c r="E669" s="24" t="s">
        <v>1316</v>
      </c>
    </row>
    <row r="670" spans="1:5" ht="17" customHeight="1" x14ac:dyDescent="0.2">
      <c r="A670" s="27" t="s">
        <v>869</v>
      </c>
      <c r="B670" s="121" t="s">
        <v>1359</v>
      </c>
      <c r="C670" s="121"/>
      <c r="D670" s="29">
        <f>650+800</f>
        <v>1450</v>
      </c>
      <c r="E670" s="24" t="s">
        <v>1316</v>
      </c>
    </row>
    <row r="671" spans="1:5" ht="15" customHeight="1" x14ac:dyDescent="0.2">
      <c r="A671" s="27" t="s">
        <v>870</v>
      </c>
      <c r="B671" s="121" t="s">
        <v>624</v>
      </c>
      <c r="C671" s="121"/>
      <c r="D671" s="29">
        <f>650+600</f>
        <v>1250</v>
      </c>
      <c r="E671" s="24" t="s">
        <v>1316</v>
      </c>
    </row>
    <row r="672" spans="1:5" s="2" customFormat="1" ht="18.75" customHeight="1" x14ac:dyDescent="0.2">
      <c r="A672" s="148" t="s">
        <v>129</v>
      </c>
      <c r="B672" s="148"/>
      <c r="C672" s="148"/>
      <c r="D672" s="148"/>
      <c r="E672" s="148"/>
    </row>
    <row r="673" spans="1:5" ht="29.25" customHeight="1" x14ac:dyDescent="0.2">
      <c r="A673" s="27" t="s">
        <v>84</v>
      </c>
      <c r="B673" s="121" t="s">
        <v>85</v>
      </c>
      <c r="C673" s="121"/>
      <c r="D673" s="29">
        <f>1200+500</f>
        <v>1700</v>
      </c>
      <c r="E673" s="25" t="s">
        <v>1680</v>
      </c>
    </row>
    <row r="674" spans="1:5" s="9" customFormat="1" ht="21" customHeight="1" x14ac:dyDescent="0.2">
      <c r="A674" s="27" t="s">
        <v>130</v>
      </c>
      <c r="B674" s="121" t="s">
        <v>118</v>
      </c>
      <c r="C674" s="121"/>
      <c r="D674" s="29">
        <f>3900+2000</f>
        <v>5900</v>
      </c>
      <c r="E674" s="28" t="s">
        <v>1681</v>
      </c>
    </row>
    <row r="675" spans="1:5" ht="18" customHeight="1" x14ac:dyDescent="0.2">
      <c r="A675" s="158" t="s">
        <v>1459</v>
      </c>
      <c r="B675" s="158"/>
      <c r="C675" s="158"/>
      <c r="D675" s="158"/>
      <c r="E675" s="158"/>
    </row>
    <row r="676" spans="1:5" ht="15" customHeight="1" x14ac:dyDescent="0.2">
      <c r="A676" s="27" t="s">
        <v>1080</v>
      </c>
      <c r="B676" s="121" t="s">
        <v>1081</v>
      </c>
      <c r="C676" s="121"/>
      <c r="D676" s="29">
        <f>1800+1100</f>
        <v>2900</v>
      </c>
      <c r="E676" s="27" t="s">
        <v>1314</v>
      </c>
    </row>
    <row r="677" spans="1:5" ht="15" customHeight="1" x14ac:dyDescent="0.2">
      <c r="A677" s="148" t="s">
        <v>492</v>
      </c>
      <c r="B677" s="148"/>
      <c r="C677" s="148"/>
      <c r="D677" s="148"/>
      <c r="E677" s="148"/>
    </row>
    <row r="678" spans="1:5" s="5" customFormat="1" x14ac:dyDescent="0.2">
      <c r="A678" s="27" t="s">
        <v>493</v>
      </c>
      <c r="B678" s="119" t="s">
        <v>1690</v>
      </c>
      <c r="C678" s="120"/>
      <c r="D678" s="29">
        <f>2700+500</f>
        <v>3200</v>
      </c>
      <c r="E678" s="24" t="s">
        <v>1317</v>
      </c>
    </row>
    <row r="679" spans="1:5" x14ac:dyDescent="0.2">
      <c r="A679" s="28" t="s">
        <v>1688</v>
      </c>
      <c r="B679" s="103" t="s">
        <v>1689</v>
      </c>
      <c r="C679" s="104"/>
      <c r="D679" s="26">
        <f>2000+1000</f>
        <v>3000</v>
      </c>
      <c r="E679" s="28" t="s">
        <v>1676</v>
      </c>
    </row>
    <row r="680" spans="1:5" s="5" customFormat="1" ht="16.5" customHeight="1" x14ac:dyDescent="0.2">
      <c r="A680" s="154" t="s">
        <v>1684</v>
      </c>
      <c r="B680" s="155"/>
      <c r="C680" s="155"/>
      <c r="D680" s="155"/>
      <c r="E680" s="156"/>
    </row>
    <row r="681" spans="1:5" s="5" customFormat="1" ht="41.25" customHeight="1" x14ac:dyDescent="0.2">
      <c r="A681" s="28" t="s">
        <v>1682</v>
      </c>
      <c r="B681" s="63" t="s">
        <v>1683</v>
      </c>
      <c r="C681" s="28" t="s">
        <v>184</v>
      </c>
      <c r="D681" s="26">
        <f>1500+300</f>
        <v>1800</v>
      </c>
      <c r="E681" s="24" t="s">
        <v>1713</v>
      </c>
    </row>
    <row r="682" spans="1:5" s="5" customFormat="1" ht="36" x14ac:dyDescent="0.2">
      <c r="A682" s="28" t="s">
        <v>1697</v>
      </c>
      <c r="B682" s="63" t="s">
        <v>1698</v>
      </c>
      <c r="C682" s="28" t="s">
        <v>645</v>
      </c>
      <c r="D682" s="26">
        <f>250+50</f>
        <v>300</v>
      </c>
      <c r="E682" s="24" t="s">
        <v>1713</v>
      </c>
    </row>
    <row r="683" spans="1:5" s="5" customFormat="1" ht="15" customHeight="1" x14ac:dyDescent="0.2">
      <c r="A683" s="148" t="s">
        <v>86</v>
      </c>
      <c r="B683" s="148"/>
      <c r="C683" s="148"/>
      <c r="D683" s="148"/>
      <c r="E683" s="148"/>
    </row>
    <row r="684" spans="1:5" ht="15" customHeight="1" x14ac:dyDescent="0.2">
      <c r="A684" s="136" t="s">
        <v>87</v>
      </c>
      <c r="B684" s="136"/>
      <c r="C684" s="136"/>
      <c r="D684" s="136"/>
      <c r="E684" s="136"/>
    </row>
    <row r="685" spans="1:5" ht="24" x14ac:dyDescent="0.2">
      <c r="A685" s="27" t="s">
        <v>88</v>
      </c>
      <c r="B685" s="121" t="s">
        <v>89</v>
      </c>
      <c r="C685" s="121"/>
      <c r="D685" s="29">
        <f>700+500</f>
        <v>1200</v>
      </c>
      <c r="E685" s="24" t="s">
        <v>1077</v>
      </c>
    </row>
    <row r="686" spans="1:5" ht="25" customHeight="1" x14ac:dyDescent="0.2">
      <c r="A686" s="27" t="s">
        <v>58</v>
      </c>
      <c r="B686" s="128" t="s">
        <v>1489</v>
      </c>
      <c r="C686" s="128"/>
      <c r="D686" s="29">
        <f>5300+300</f>
        <v>5600</v>
      </c>
      <c r="E686" s="24" t="s">
        <v>1318</v>
      </c>
    </row>
    <row r="687" spans="1:5" ht="44.25" customHeight="1" x14ac:dyDescent="0.2">
      <c r="A687" s="27" t="s">
        <v>479</v>
      </c>
      <c r="B687" s="128" t="s">
        <v>1490</v>
      </c>
      <c r="C687" s="128"/>
      <c r="D687" s="29">
        <f>9000+2000</f>
        <v>11000</v>
      </c>
      <c r="E687" s="24" t="s">
        <v>1318</v>
      </c>
    </row>
    <row r="688" spans="1:5" ht="15" customHeight="1" x14ac:dyDescent="0.2">
      <c r="A688" s="136" t="s">
        <v>895</v>
      </c>
      <c r="B688" s="136"/>
      <c r="C688" s="136"/>
      <c r="D688" s="136"/>
      <c r="E688" s="136"/>
    </row>
    <row r="689" spans="1:5" x14ac:dyDescent="0.2">
      <c r="A689" s="27" t="s">
        <v>896</v>
      </c>
      <c r="B689" s="123" t="s">
        <v>1491</v>
      </c>
      <c r="C689" s="123"/>
      <c r="D689" s="29">
        <f>2700+300</f>
        <v>3000</v>
      </c>
      <c r="E689" s="24" t="s">
        <v>1319</v>
      </c>
    </row>
    <row r="690" spans="1:5" x14ac:dyDescent="0.2">
      <c r="A690" s="27" t="s">
        <v>897</v>
      </c>
      <c r="B690" s="123" t="s">
        <v>1492</v>
      </c>
      <c r="C690" s="123"/>
      <c r="D690" s="29">
        <f>3400+200</f>
        <v>3600</v>
      </c>
      <c r="E690" s="24" t="s">
        <v>1319</v>
      </c>
    </row>
    <row r="691" spans="1:5" x14ac:dyDescent="0.2">
      <c r="A691" s="27" t="s">
        <v>898</v>
      </c>
      <c r="B691" s="123" t="s">
        <v>1493</v>
      </c>
      <c r="C691" s="123"/>
      <c r="D691" s="29">
        <f>2700+300</f>
        <v>3000</v>
      </c>
      <c r="E691" s="24" t="s">
        <v>1319</v>
      </c>
    </row>
    <row r="692" spans="1:5" s="17" customFormat="1" ht="18" x14ac:dyDescent="0.2">
      <c r="A692" s="27" t="s">
        <v>899</v>
      </c>
      <c r="B692" s="123" t="s">
        <v>1494</v>
      </c>
      <c r="C692" s="123"/>
      <c r="D692" s="29">
        <f>3400+200</f>
        <v>3600</v>
      </c>
      <c r="E692" s="24" t="s">
        <v>1319</v>
      </c>
    </row>
    <row r="693" spans="1:5" s="9" customFormat="1" ht="14" x14ac:dyDescent="0.2">
      <c r="A693" s="27" t="s">
        <v>900</v>
      </c>
      <c r="B693" s="123" t="s">
        <v>1495</v>
      </c>
      <c r="C693" s="123"/>
      <c r="D693" s="29">
        <f>2700+300</f>
        <v>3000</v>
      </c>
      <c r="E693" s="24" t="s">
        <v>1319</v>
      </c>
    </row>
    <row r="694" spans="1:5" x14ac:dyDescent="0.2">
      <c r="A694" s="27" t="s">
        <v>901</v>
      </c>
      <c r="B694" s="123" t="s">
        <v>1496</v>
      </c>
      <c r="C694" s="123"/>
      <c r="D694" s="29">
        <f>3400+200</f>
        <v>3600</v>
      </c>
      <c r="E694" s="24" t="s">
        <v>1319</v>
      </c>
    </row>
    <row r="695" spans="1:5" x14ac:dyDescent="0.2">
      <c r="A695" s="27" t="s">
        <v>902</v>
      </c>
      <c r="B695" s="123" t="s">
        <v>1497</v>
      </c>
      <c r="C695" s="123"/>
      <c r="D695" s="29">
        <f>2700+300</f>
        <v>3000</v>
      </c>
      <c r="E695" s="24" t="s">
        <v>1319</v>
      </c>
    </row>
    <row r="696" spans="1:5" x14ac:dyDescent="0.2">
      <c r="A696" s="27" t="s">
        <v>903</v>
      </c>
      <c r="B696" s="123" t="s">
        <v>1498</v>
      </c>
      <c r="C696" s="123"/>
      <c r="D696" s="29">
        <f>3400+200</f>
        <v>3600</v>
      </c>
      <c r="E696" s="24" t="s">
        <v>1319</v>
      </c>
    </row>
    <row r="697" spans="1:5" x14ac:dyDescent="0.2">
      <c r="A697" s="27" t="s">
        <v>904</v>
      </c>
      <c r="B697" s="123" t="s">
        <v>1499</v>
      </c>
      <c r="C697" s="123"/>
      <c r="D697" s="29">
        <f>2700+300</f>
        <v>3000</v>
      </c>
      <c r="E697" s="24" t="s">
        <v>1319</v>
      </c>
    </row>
    <row r="698" spans="1:5" x14ac:dyDescent="0.2">
      <c r="A698" s="27" t="s">
        <v>905</v>
      </c>
      <c r="B698" s="123" t="s">
        <v>1500</v>
      </c>
      <c r="C698" s="123"/>
      <c r="D698" s="29">
        <f>3400+200</f>
        <v>3600</v>
      </c>
      <c r="E698" s="24" t="s">
        <v>1319</v>
      </c>
    </row>
    <row r="699" spans="1:5" x14ac:dyDescent="0.2">
      <c r="A699" s="27" t="s">
        <v>906</v>
      </c>
      <c r="B699" s="123" t="s">
        <v>1501</v>
      </c>
      <c r="C699" s="123"/>
      <c r="D699" s="29">
        <f>2700+300</f>
        <v>3000</v>
      </c>
      <c r="E699" s="24" t="s">
        <v>1319</v>
      </c>
    </row>
    <row r="700" spans="1:5" x14ac:dyDescent="0.2">
      <c r="A700" s="27" t="s">
        <v>907</v>
      </c>
      <c r="B700" s="123" t="s">
        <v>1502</v>
      </c>
      <c r="C700" s="123"/>
      <c r="D700" s="29">
        <f>3400+200</f>
        <v>3600</v>
      </c>
      <c r="E700" s="24" t="s">
        <v>1319</v>
      </c>
    </row>
    <row r="701" spans="1:5" ht="27.75" customHeight="1" x14ac:dyDescent="0.2">
      <c r="A701" s="27" t="s">
        <v>908</v>
      </c>
      <c r="B701" s="123" t="s">
        <v>1503</v>
      </c>
      <c r="C701" s="123"/>
      <c r="D701" s="29">
        <f>5400+400</f>
        <v>5800</v>
      </c>
      <c r="E701" s="24" t="s">
        <v>1320</v>
      </c>
    </row>
    <row r="702" spans="1:5" x14ac:dyDescent="0.2">
      <c r="A702" s="27" t="s">
        <v>909</v>
      </c>
      <c r="B702" s="123" t="s">
        <v>1504</v>
      </c>
      <c r="C702" s="123"/>
      <c r="D702" s="29">
        <f>2700+300</f>
        <v>3000</v>
      </c>
      <c r="E702" s="24" t="s">
        <v>1319</v>
      </c>
    </row>
    <row r="703" spans="1:5" x14ac:dyDescent="0.2">
      <c r="A703" s="27" t="s">
        <v>910</v>
      </c>
      <c r="B703" s="123" t="s">
        <v>1505</v>
      </c>
      <c r="C703" s="123"/>
      <c r="D703" s="29">
        <f>3400+200</f>
        <v>3600</v>
      </c>
      <c r="E703" s="24" t="s">
        <v>1319</v>
      </c>
    </row>
    <row r="704" spans="1:5" x14ac:dyDescent="0.2">
      <c r="A704" s="27" t="s">
        <v>911</v>
      </c>
      <c r="B704" s="123" t="s">
        <v>1506</v>
      </c>
      <c r="C704" s="123"/>
      <c r="D704" s="29">
        <f>3400+200</f>
        <v>3600</v>
      </c>
      <c r="E704" s="24" t="s">
        <v>1319</v>
      </c>
    </row>
    <row r="705" spans="1:5" x14ac:dyDescent="0.2">
      <c r="A705" s="27" t="s">
        <v>912</v>
      </c>
      <c r="B705" s="123" t="s">
        <v>1507</v>
      </c>
      <c r="C705" s="123"/>
      <c r="D705" s="29">
        <f>3400+200</f>
        <v>3600</v>
      </c>
      <c r="E705" s="24" t="s">
        <v>1319</v>
      </c>
    </row>
    <row r="706" spans="1:5" x14ac:dyDescent="0.2">
      <c r="A706" s="27" t="s">
        <v>913</v>
      </c>
      <c r="B706" s="123" t="s">
        <v>1508</v>
      </c>
      <c r="C706" s="123"/>
      <c r="D706" s="29">
        <f>2700+300</f>
        <v>3000</v>
      </c>
      <c r="E706" s="24" t="s">
        <v>1319</v>
      </c>
    </row>
    <row r="707" spans="1:5" x14ac:dyDescent="0.2">
      <c r="A707" s="27" t="s">
        <v>914</v>
      </c>
      <c r="B707" s="123" t="s">
        <v>1509</v>
      </c>
      <c r="C707" s="123"/>
      <c r="D707" s="29">
        <f>3400+200</f>
        <v>3600</v>
      </c>
      <c r="E707" s="24" t="s">
        <v>1319</v>
      </c>
    </row>
    <row r="708" spans="1:5" x14ac:dyDescent="0.2">
      <c r="A708" s="27" t="s">
        <v>915</v>
      </c>
      <c r="B708" s="123" t="s">
        <v>1510</v>
      </c>
      <c r="C708" s="123"/>
      <c r="D708" s="29">
        <f>5200+400</f>
        <v>5600</v>
      </c>
      <c r="E708" s="24" t="s">
        <v>1320</v>
      </c>
    </row>
    <row r="709" spans="1:5" x14ac:dyDescent="0.2">
      <c r="A709" s="27" t="s">
        <v>916</v>
      </c>
      <c r="B709" s="123" t="s">
        <v>1511</v>
      </c>
      <c r="C709" s="123"/>
      <c r="D709" s="29">
        <f>5200+400</f>
        <v>5600</v>
      </c>
      <c r="E709" s="24" t="s">
        <v>1320</v>
      </c>
    </row>
    <row r="710" spans="1:5" x14ac:dyDescent="0.2">
      <c r="A710" s="27" t="s">
        <v>1027</v>
      </c>
      <c r="B710" s="103" t="s">
        <v>1512</v>
      </c>
      <c r="C710" s="144"/>
      <c r="D710" s="26">
        <f>4900+200</f>
        <v>5100</v>
      </c>
      <c r="E710" s="24" t="s">
        <v>1319</v>
      </c>
    </row>
    <row r="711" spans="1:5" ht="16" customHeight="1" x14ac:dyDescent="0.2">
      <c r="A711" s="167" t="s">
        <v>917</v>
      </c>
      <c r="B711" s="167"/>
      <c r="C711" s="167"/>
      <c r="D711" s="167"/>
      <c r="E711" s="167"/>
    </row>
    <row r="712" spans="1:5" ht="15" customHeight="1" x14ac:dyDescent="0.2">
      <c r="A712" s="143" t="s">
        <v>918</v>
      </c>
      <c r="B712" s="143"/>
      <c r="C712" s="143"/>
      <c r="D712" s="143"/>
      <c r="E712" s="143"/>
    </row>
    <row r="713" spans="1:5" ht="24.75" customHeight="1" x14ac:dyDescent="0.2">
      <c r="A713" s="27" t="s">
        <v>919</v>
      </c>
      <c r="B713" s="121" t="s">
        <v>1513</v>
      </c>
      <c r="C713" s="121"/>
      <c r="D713" s="29">
        <f>6300+500</f>
        <v>6800</v>
      </c>
      <c r="E713" s="24" t="s">
        <v>1322</v>
      </c>
    </row>
    <row r="714" spans="1:5" x14ac:dyDescent="0.2">
      <c r="A714" s="122" t="s">
        <v>920</v>
      </c>
      <c r="B714" s="122"/>
      <c r="C714" s="122"/>
      <c r="D714" s="122"/>
      <c r="E714" s="122"/>
    </row>
    <row r="715" spans="1:5" ht="39.75" customHeight="1" x14ac:dyDescent="0.2">
      <c r="A715" s="27" t="s">
        <v>921</v>
      </c>
      <c r="B715" s="171" t="s">
        <v>1514</v>
      </c>
      <c r="C715" s="171"/>
      <c r="D715" s="29">
        <f>9000+800</f>
        <v>9800</v>
      </c>
      <c r="E715" s="24" t="s">
        <v>1321</v>
      </c>
    </row>
    <row r="716" spans="1:5" ht="39.75" customHeight="1" x14ac:dyDescent="0.2">
      <c r="A716" s="27" t="s">
        <v>922</v>
      </c>
      <c r="B716" s="171" t="s">
        <v>1515</v>
      </c>
      <c r="C716" s="171"/>
      <c r="D716" s="29">
        <f>11700+800</f>
        <v>12500</v>
      </c>
      <c r="E716" s="24" t="s">
        <v>1321</v>
      </c>
    </row>
    <row r="717" spans="1:5" x14ac:dyDescent="0.2">
      <c r="A717" s="143" t="s">
        <v>923</v>
      </c>
      <c r="B717" s="143"/>
      <c r="C717" s="143"/>
      <c r="D717" s="143"/>
      <c r="E717" s="143"/>
    </row>
    <row r="718" spans="1:5" x14ac:dyDescent="0.2">
      <c r="A718" s="27" t="s">
        <v>1025</v>
      </c>
      <c r="B718" s="123" t="s">
        <v>1516</v>
      </c>
      <c r="C718" s="123"/>
      <c r="D718" s="26">
        <f>16200+1400</f>
        <v>17600</v>
      </c>
      <c r="E718" s="27" t="s">
        <v>1321</v>
      </c>
    </row>
    <row r="719" spans="1:5" ht="15" customHeight="1" x14ac:dyDescent="0.2">
      <c r="A719" s="143" t="s">
        <v>924</v>
      </c>
      <c r="B719" s="143"/>
      <c r="C719" s="143"/>
      <c r="D719" s="143"/>
      <c r="E719" s="143"/>
    </row>
    <row r="720" spans="1:5" ht="15" customHeight="1" x14ac:dyDescent="0.2">
      <c r="A720" s="27" t="s">
        <v>925</v>
      </c>
      <c r="B720" s="123" t="s">
        <v>1517</v>
      </c>
      <c r="C720" s="123"/>
      <c r="D720" s="26">
        <f>11700+800</f>
        <v>12500</v>
      </c>
      <c r="E720" s="27" t="s">
        <v>1321</v>
      </c>
    </row>
    <row r="721" spans="1:5" ht="15" customHeight="1" x14ac:dyDescent="0.2">
      <c r="A721" s="143" t="s">
        <v>926</v>
      </c>
      <c r="B721" s="143"/>
      <c r="C721" s="143"/>
      <c r="D721" s="143"/>
      <c r="E721" s="143"/>
    </row>
    <row r="722" spans="1:5" s="2" customFormat="1" ht="15" customHeight="1" x14ac:dyDescent="0.2">
      <c r="A722" s="27" t="s">
        <v>927</v>
      </c>
      <c r="B722" s="123" t="s">
        <v>1518</v>
      </c>
      <c r="C722" s="123"/>
      <c r="D722" s="26">
        <f>11700+800</f>
        <v>12500</v>
      </c>
      <c r="E722" s="27" t="s">
        <v>1321</v>
      </c>
    </row>
    <row r="723" spans="1:5" ht="15" customHeight="1" x14ac:dyDescent="0.2">
      <c r="A723" s="143" t="s">
        <v>928</v>
      </c>
      <c r="B723" s="143"/>
      <c r="C723" s="143"/>
      <c r="D723" s="143"/>
      <c r="E723" s="143"/>
    </row>
    <row r="724" spans="1:5" ht="29.25" customHeight="1" x14ac:dyDescent="0.2">
      <c r="A724" s="27" t="s">
        <v>929</v>
      </c>
      <c r="B724" s="103" t="s">
        <v>1519</v>
      </c>
      <c r="C724" s="144"/>
      <c r="D724" s="26">
        <f>6300+500</f>
        <v>6800</v>
      </c>
      <c r="E724" s="27" t="s">
        <v>1321</v>
      </c>
    </row>
    <row r="725" spans="1:5" ht="28.5" customHeight="1" x14ac:dyDescent="0.2">
      <c r="A725" s="27" t="s">
        <v>930</v>
      </c>
      <c r="B725" s="103" t="s">
        <v>1520</v>
      </c>
      <c r="C725" s="144"/>
      <c r="D725" s="26">
        <f>8100+700</f>
        <v>8800</v>
      </c>
      <c r="E725" s="27" t="s">
        <v>1321</v>
      </c>
    </row>
    <row r="726" spans="1:5" ht="18.75" customHeight="1" x14ac:dyDescent="0.2">
      <c r="A726" s="143" t="s">
        <v>931</v>
      </c>
      <c r="B726" s="143"/>
      <c r="C726" s="143"/>
      <c r="D726" s="143"/>
      <c r="E726" s="143"/>
    </row>
    <row r="727" spans="1:5" ht="19.5" customHeight="1" x14ac:dyDescent="0.2">
      <c r="A727" s="27" t="s">
        <v>932</v>
      </c>
      <c r="B727" s="123" t="s">
        <v>1521</v>
      </c>
      <c r="C727" s="123"/>
      <c r="D727" s="26">
        <f>16200+1300</f>
        <v>17500</v>
      </c>
      <c r="E727" s="27" t="s">
        <v>1321</v>
      </c>
    </row>
    <row r="728" spans="1:5" ht="15" customHeight="1" x14ac:dyDescent="0.2">
      <c r="A728" s="143" t="s">
        <v>933</v>
      </c>
      <c r="B728" s="143"/>
      <c r="C728" s="143"/>
      <c r="D728" s="143"/>
      <c r="E728" s="143"/>
    </row>
    <row r="729" spans="1:5" ht="15" customHeight="1" x14ac:dyDescent="0.2">
      <c r="A729" s="27" t="s">
        <v>934</v>
      </c>
      <c r="B729" s="103" t="s">
        <v>1522</v>
      </c>
      <c r="C729" s="144"/>
      <c r="D729" s="26">
        <f>11700+800</f>
        <v>12500</v>
      </c>
      <c r="E729" s="27" t="s">
        <v>1321</v>
      </c>
    </row>
    <row r="730" spans="1:5" ht="15" customHeight="1" x14ac:dyDescent="0.2">
      <c r="A730" s="27" t="s">
        <v>935</v>
      </c>
      <c r="B730" s="169" t="s">
        <v>1807</v>
      </c>
      <c r="C730" s="170"/>
      <c r="D730" s="26">
        <v>12600</v>
      </c>
      <c r="E730" s="27" t="s">
        <v>1321</v>
      </c>
    </row>
    <row r="731" spans="1:5" ht="15" customHeight="1" x14ac:dyDescent="0.2">
      <c r="A731" s="27" t="s">
        <v>936</v>
      </c>
      <c r="B731" s="103" t="s">
        <v>1523</v>
      </c>
      <c r="C731" s="144"/>
      <c r="D731" s="26">
        <f>6300+500</f>
        <v>6800</v>
      </c>
      <c r="E731" s="27" t="s">
        <v>1322</v>
      </c>
    </row>
    <row r="732" spans="1:5" s="2" customFormat="1" ht="15" customHeight="1" x14ac:dyDescent="0.2">
      <c r="A732" s="143" t="s">
        <v>937</v>
      </c>
      <c r="B732" s="143"/>
      <c r="C732" s="143"/>
      <c r="D732" s="143"/>
      <c r="E732" s="143"/>
    </row>
    <row r="733" spans="1:5" ht="15" customHeight="1" x14ac:dyDescent="0.2">
      <c r="A733" s="27" t="s">
        <v>938</v>
      </c>
      <c r="B733" s="123" t="s">
        <v>1524</v>
      </c>
      <c r="C733" s="123"/>
      <c r="D733" s="26">
        <f>9900+800</f>
        <v>10700</v>
      </c>
      <c r="E733" s="27" t="s">
        <v>1321</v>
      </c>
    </row>
    <row r="734" spans="1:5" ht="15" customHeight="1" x14ac:dyDescent="0.2">
      <c r="A734" s="143" t="s">
        <v>939</v>
      </c>
      <c r="B734" s="143"/>
      <c r="C734" s="143"/>
      <c r="D734" s="143"/>
      <c r="E734" s="143"/>
    </row>
    <row r="735" spans="1:5" ht="15" customHeight="1" x14ac:dyDescent="0.2">
      <c r="A735" s="27" t="s">
        <v>940</v>
      </c>
      <c r="B735" s="123" t="s">
        <v>1525</v>
      </c>
      <c r="C735" s="123"/>
      <c r="D735" s="26">
        <f>6300+900</f>
        <v>7200</v>
      </c>
      <c r="E735" s="27" t="s">
        <v>1322</v>
      </c>
    </row>
    <row r="736" spans="1:5" ht="15" customHeight="1" x14ac:dyDescent="0.2">
      <c r="A736" s="143" t="s">
        <v>941</v>
      </c>
      <c r="B736" s="143"/>
      <c r="C736" s="143"/>
      <c r="D736" s="143"/>
      <c r="E736" s="143"/>
    </row>
    <row r="737" spans="1:5" ht="20.25" customHeight="1" x14ac:dyDescent="0.2">
      <c r="A737" s="27" t="s">
        <v>1073</v>
      </c>
      <c r="B737" s="123" t="s">
        <v>1526</v>
      </c>
      <c r="C737" s="123"/>
      <c r="D737" s="26">
        <f>9200+400</f>
        <v>9600</v>
      </c>
      <c r="E737" s="27" t="s">
        <v>1321</v>
      </c>
    </row>
    <row r="738" spans="1:5" ht="15" customHeight="1" x14ac:dyDescent="0.2">
      <c r="A738" s="27" t="s">
        <v>942</v>
      </c>
      <c r="B738" s="168" t="s">
        <v>1808</v>
      </c>
      <c r="C738" s="168"/>
      <c r="D738" s="26">
        <v>49000</v>
      </c>
      <c r="E738" s="27" t="s">
        <v>1324</v>
      </c>
    </row>
    <row r="739" spans="1:5" ht="15" customHeight="1" x14ac:dyDescent="0.2">
      <c r="A739" s="27" t="s">
        <v>943</v>
      </c>
      <c r="B739" s="123" t="s">
        <v>1527</v>
      </c>
      <c r="C739" s="123"/>
      <c r="D739" s="26">
        <f>14200+1300</f>
        <v>15500</v>
      </c>
      <c r="E739" s="27" t="s">
        <v>1321</v>
      </c>
    </row>
    <row r="740" spans="1:5" ht="15" customHeight="1" x14ac:dyDescent="0.2">
      <c r="A740" s="143" t="s">
        <v>944</v>
      </c>
      <c r="B740" s="143"/>
      <c r="C740" s="143"/>
      <c r="D740" s="143"/>
      <c r="E740" s="143"/>
    </row>
    <row r="741" spans="1:5" ht="15" customHeight="1" x14ac:dyDescent="0.2">
      <c r="A741" s="27" t="s">
        <v>945</v>
      </c>
      <c r="B741" s="123" t="s">
        <v>1528</v>
      </c>
      <c r="C741" s="123"/>
      <c r="D741" s="26">
        <f>12600+900</f>
        <v>13500</v>
      </c>
      <c r="E741" s="27" t="s">
        <v>1321</v>
      </c>
    </row>
    <row r="742" spans="1:5" ht="15" customHeight="1" x14ac:dyDescent="0.2">
      <c r="A742" s="27" t="s">
        <v>946</v>
      </c>
      <c r="B742" s="123" t="s">
        <v>1529</v>
      </c>
      <c r="C742" s="123"/>
      <c r="D742" s="26">
        <f>14400+1100</f>
        <v>15500</v>
      </c>
      <c r="E742" s="27" t="s">
        <v>1321</v>
      </c>
    </row>
    <row r="743" spans="1:5" ht="15" customHeight="1" x14ac:dyDescent="0.2">
      <c r="A743" s="27" t="s">
        <v>947</v>
      </c>
      <c r="B743" s="123" t="s">
        <v>1530</v>
      </c>
      <c r="C743" s="123"/>
      <c r="D743" s="26">
        <f>14400+1100</f>
        <v>15500</v>
      </c>
      <c r="E743" s="27" t="s">
        <v>1321</v>
      </c>
    </row>
    <row r="744" spans="1:5" ht="15" customHeight="1" x14ac:dyDescent="0.2">
      <c r="A744" s="27" t="s">
        <v>948</v>
      </c>
      <c r="B744" s="123" t="s">
        <v>1531</v>
      </c>
      <c r="C744" s="123"/>
      <c r="D744" s="26">
        <f>14400+1100</f>
        <v>15500</v>
      </c>
      <c r="E744" s="27" t="s">
        <v>1321</v>
      </c>
    </row>
    <row r="745" spans="1:5" ht="15" customHeight="1" x14ac:dyDescent="0.2">
      <c r="A745" s="143" t="s">
        <v>949</v>
      </c>
      <c r="B745" s="143"/>
      <c r="C745" s="143"/>
      <c r="D745" s="143"/>
      <c r="E745" s="143"/>
    </row>
    <row r="746" spans="1:5" s="2" customFormat="1" ht="15" customHeight="1" x14ac:dyDescent="0.2">
      <c r="A746" s="27" t="s">
        <v>950</v>
      </c>
      <c r="B746" s="168" t="s">
        <v>1809</v>
      </c>
      <c r="C746" s="168"/>
      <c r="D746" s="26">
        <v>6300</v>
      </c>
      <c r="E746" s="27" t="s">
        <v>1321</v>
      </c>
    </row>
    <row r="747" spans="1:5" ht="15" customHeight="1" x14ac:dyDescent="0.2">
      <c r="A747" s="27" t="s">
        <v>951</v>
      </c>
      <c r="B747" s="168" t="s">
        <v>1810</v>
      </c>
      <c r="C747" s="168"/>
      <c r="D747" s="26">
        <v>25000</v>
      </c>
      <c r="E747" s="27" t="s">
        <v>1321</v>
      </c>
    </row>
    <row r="748" spans="1:5" ht="15" customHeight="1" x14ac:dyDescent="0.2">
      <c r="A748" s="143" t="s">
        <v>952</v>
      </c>
      <c r="B748" s="143"/>
      <c r="C748" s="143"/>
      <c r="D748" s="143"/>
      <c r="E748" s="143"/>
    </row>
    <row r="749" spans="1:5" ht="15" customHeight="1" x14ac:dyDescent="0.2">
      <c r="A749" s="27" t="s">
        <v>953</v>
      </c>
      <c r="B749" s="123" t="s">
        <v>1532</v>
      </c>
      <c r="C749" s="123"/>
      <c r="D749" s="26">
        <f>8100+700</f>
        <v>8800</v>
      </c>
      <c r="E749" s="27" t="s">
        <v>1321</v>
      </c>
    </row>
    <row r="750" spans="1:5" ht="15" customHeight="1" x14ac:dyDescent="0.2">
      <c r="A750" s="143" t="s">
        <v>954</v>
      </c>
      <c r="B750" s="143"/>
      <c r="C750" s="143"/>
      <c r="D750" s="143"/>
      <c r="E750" s="143"/>
    </row>
    <row r="751" spans="1:5" ht="15" customHeight="1" x14ac:dyDescent="0.2">
      <c r="A751" s="27" t="s">
        <v>955</v>
      </c>
      <c r="B751" s="123" t="s">
        <v>1533</v>
      </c>
      <c r="C751" s="123"/>
      <c r="D751" s="26">
        <v>14400</v>
      </c>
      <c r="E751" s="27" t="s">
        <v>1321</v>
      </c>
    </row>
    <row r="752" spans="1:5" s="9" customFormat="1" ht="15" customHeight="1" x14ac:dyDescent="0.2">
      <c r="A752" s="27" t="s">
        <v>956</v>
      </c>
      <c r="B752" s="103" t="s">
        <v>1534</v>
      </c>
      <c r="C752" s="144"/>
      <c r="D752" s="26">
        <v>81000</v>
      </c>
      <c r="E752" s="27" t="s">
        <v>1325</v>
      </c>
    </row>
    <row r="753" spans="1:5" ht="15" customHeight="1" x14ac:dyDescent="0.2">
      <c r="A753" s="143" t="s">
        <v>957</v>
      </c>
      <c r="B753" s="143"/>
      <c r="C753" s="143"/>
      <c r="D753" s="143"/>
      <c r="E753" s="143"/>
    </row>
    <row r="754" spans="1:5" ht="15" customHeight="1" x14ac:dyDescent="0.2">
      <c r="A754" s="27" t="s">
        <v>1026</v>
      </c>
      <c r="B754" s="123" t="s">
        <v>1535</v>
      </c>
      <c r="C754" s="123"/>
      <c r="D754" s="26">
        <f>6300+500</f>
        <v>6800</v>
      </c>
      <c r="E754" s="27" t="s">
        <v>1322</v>
      </c>
    </row>
    <row r="755" spans="1:5" ht="15" customHeight="1" x14ac:dyDescent="0.2">
      <c r="A755" s="143" t="s">
        <v>958</v>
      </c>
      <c r="B755" s="143"/>
      <c r="C755" s="143"/>
      <c r="D755" s="143"/>
      <c r="E755" s="143"/>
    </row>
    <row r="756" spans="1:5" ht="15" customHeight="1" x14ac:dyDescent="0.2">
      <c r="A756" s="27" t="s">
        <v>959</v>
      </c>
      <c r="B756" s="123" t="s">
        <v>1536</v>
      </c>
      <c r="C756" s="123"/>
      <c r="D756" s="26">
        <f>4100+300</f>
        <v>4400</v>
      </c>
      <c r="E756" s="27" t="s">
        <v>1322</v>
      </c>
    </row>
    <row r="757" spans="1:5" ht="15" customHeight="1" x14ac:dyDescent="0.2">
      <c r="A757" s="27" t="s">
        <v>960</v>
      </c>
      <c r="B757" s="123" t="s">
        <v>1537</v>
      </c>
      <c r="C757" s="123"/>
      <c r="D757" s="26">
        <f>4100+300</f>
        <v>4400</v>
      </c>
      <c r="E757" s="27" t="s">
        <v>1322</v>
      </c>
    </row>
    <row r="758" spans="1:5" ht="15" customHeight="1" x14ac:dyDescent="0.2">
      <c r="A758" s="143" t="s">
        <v>91</v>
      </c>
      <c r="B758" s="143"/>
      <c r="C758" s="143"/>
      <c r="D758" s="143"/>
      <c r="E758" s="143"/>
    </row>
    <row r="759" spans="1:5" ht="15" customHeight="1" x14ac:dyDescent="0.2">
      <c r="A759" s="27" t="s">
        <v>961</v>
      </c>
      <c r="B759" s="123" t="s">
        <v>1538</v>
      </c>
      <c r="C759" s="123"/>
      <c r="D759" s="26">
        <f>8100+600</f>
        <v>8700</v>
      </c>
      <c r="E759" s="27" t="s">
        <v>1322</v>
      </c>
    </row>
    <row r="760" spans="1:5" ht="15" customHeight="1" x14ac:dyDescent="0.2">
      <c r="A760" s="143" t="s">
        <v>962</v>
      </c>
      <c r="B760" s="143"/>
      <c r="C760" s="143"/>
      <c r="D760" s="143"/>
      <c r="E760" s="143"/>
    </row>
    <row r="761" spans="1:5" ht="24.75" customHeight="1" x14ac:dyDescent="0.2">
      <c r="A761" s="27" t="s">
        <v>963</v>
      </c>
      <c r="B761" s="123" t="s">
        <v>1539</v>
      </c>
      <c r="C761" s="123"/>
      <c r="D761" s="26">
        <f>27000+700</f>
        <v>27700</v>
      </c>
      <c r="E761" s="27" t="s">
        <v>1323</v>
      </c>
    </row>
    <row r="762" spans="1:5" ht="26.25" customHeight="1" x14ac:dyDescent="0.2">
      <c r="A762" s="27" t="s">
        <v>964</v>
      </c>
      <c r="B762" s="123" t="s">
        <v>1540</v>
      </c>
      <c r="C762" s="123"/>
      <c r="D762" s="26">
        <f>20500+700</f>
        <v>21200</v>
      </c>
      <c r="E762" s="27" t="s">
        <v>1321</v>
      </c>
    </row>
    <row r="763" spans="1:5" ht="15.75" customHeight="1" x14ac:dyDescent="0.2">
      <c r="A763" s="27" t="s">
        <v>965</v>
      </c>
      <c r="B763" s="103" t="s">
        <v>1541</v>
      </c>
      <c r="C763" s="104"/>
      <c r="D763" s="26">
        <f>8100+300</f>
        <v>8400</v>
      </c>
      <c r="E763" s="27" t="s">
        <v>1321</v>
      </c>
    </row>
    <row r="764" spans="1:5" ht="15" customHeight="1" x14ac:dyDescent="0.2">
      <c r="A764" s="27" t="s">
        <v>1074</v>
      </c>
      <c r="B764" s="103" t="s">
        <v>1542</v>
      </c>
      <c r="C764" s="144"/>
      <c r="D764" s="26">
        <f>6300+300</f>
        <v>6600</v>
      </c>
      <c r="E764" s="27" t="s">
        <v>1322</v>
      </c>
    </row>
    <row r="765" spans="1:5" x14ac:dyDescent="0.2">
      <c r="A765" s="143" t="s">
        <v>966</v>
      </c>
      <c r="B765" s="143"/>
      <c r="C765" s="143"/>
      <c r="D765" s="143"/>
      <c r="E765" s="143"/>
    </row>
    <row r="766" spans="1:5" ht="15.75" customHeight="1" x14ac:dyDescent="0.2">
      <c r="A766" s="27" t="s">
        <v>967</v>
      </c>
      <c r="B766" s="123" t="s">
        <v>1543</v>
      </c>
      <c r="C766" s="123"/>
      <c r="D766" s="26">
        <f>16200+1000</f>
        <v>17200</v>
      </c>
      <c r="E766" s="27" t="s">
        <v>1321</v>
      </c>
    </row>
    <row r="767" spans="1:5" ht="14.5" customHeight="1" x14ac:dyDescent="0.2">
      <c r="A767" s="27" t="s">
        <v>968</v>
      </c>
      <c r="B767" s="123" t="s">
        <v>1544</v>
      </c>
      <c r="C767" s="123"/>
      <c r="D767" s="26">
        <f>36000+2000</f>
        <v>38000</v>
      </c>
      <c r="E767" s="27" t="s">
        <v>1321</v>
      </c>
    </row>
    <row r="768" spans="1:5" x14ac:dyDescent="0.2">
      <c r="A768" s="143" t="s">
        <v>969</v>
      </c>
      <c r="B768" s="143"/>
      <c r="C768" s="143"/>
      <c r="D768" s="143"/>
      <c r="E768" s="143"/>
    </row>
    <row r="769" spans="1:5" ht="15.75" customHeight="1" x14ac:dyDescent="0.2">
      <c r="A769" s="27" t="s">
        <v>970</v>
      </c>
      <c r="B769" s="123" t="s">
        <v>1545</v>
      </c>
      <c r="C769" s="123"/>
      <c r="D769" s="26">
        <f>8100+500</f>
        <v>8600</v>
      </c>
      <c r="E769" s="27" t="s">
        <v>1324</v>
      </c>
    </row>
    <row r="770" spans="1:5" ht="14.5" customHeight="1" x14ac:dyDescent="0.2">
      <c r="A770" s="143" t="s">
        <v>971</v>
      </c>
      <c r="B770" s="143"/>
      <c r="C770" s="143"/>
      <c r="D770" s="143"/>
      <c r="E770" s="143"/>
    </row>
    <row r="771" spans="1:5" ht="14.5" customHeight="1" x14ac:dyDescent="0.2">
      <c r="A771" s="27" t="s">
        <v>972</v>
      </c>
      <c r="B771" s="123" t="s">
        <v>1546</v>
      </c>
      <c r="C771" s="123"/>
      <c r="D771" s="26">
        <f>4100+300</f>
        <v>4400</v>
      </c>
      <c r="E771" s="27" t="s">
        <v>1322</v>
      </c>
    </row>
    <row r="772" spans="1:5" ht="14.5" customHeight="1" x14ac:dyDescent="0.2">
      <c r="A772" s="27" t="s">
        <v>973</v>
      </c>
      <c r="B772" s="123" t="s">
        <v>1547</v>
      </c>
      <c r="C772" s="123"/>
      <c r="D772" s="26">
        <f>25000+4000</f>
        <v>29000</v>
      </c>
      <c r="E772" s="27" t="s">
        <v>1321</v>
      </c>
    </row>
    <row r="773" spans="1:5" ht="15" customHeight="1" x14ac:dyDescent="0.2">
      <c r="A773" s="143" t="s">
        <v>974</v>
      </c>
      <c r="B773" s="143"/>
      <c r="C773" s="143"/>
      <c r="D773" s="143"/>
      <c r="E773" s="143"/>
    </row>
    <row r="774" spans="1:5" ht="15" customHeight="1" x14ac:dyDescent="0.2">
      <c r="A774" s="27" t="s">
        <v>975</v>
      </c>
      <c r="B774" s="123" t="s">
        <v>1548</v>
      </c>
      <c r="C774" s="123"/>
      <c r="D774" s="26">
        <f>4500+300</f>
        <v>4800</v>
      </c>
      <c r="E774" s="27" t="s">
        <v>1322</v>
      </c>
    </row>
    <row r="775" spans="1:5" ht="15" customHeight="1" x14ac:dyDescent="0.2">
      <c r="A775" s="143" t="s">
        <v>976</v>
      </c>
      <c r="B775" s="143"/>
      <c r="C775" s="143"/>
      <c r="D775" s="143"/>
      <c r="E775" s="143"/>
    </row>
    <row r="776" spans="1:5" ht="15" customHeight="1" x14ac:dyDescent="0.2">
      <c r="A776" s="27" t="s">
        <v>977</v>
      </c>
      <c r="B776" s="123" t="s">
        <v>1549</v>
      </c>
      <c r="C776" s="123"/>
      <c r="D776" s="26">
        <f>11000+500</f>
        <v>11500</v>
      </c>
      <c r="E776" s="27" t="s">
        <v>1321</v>
      </c>
    </row>
    <row r="777" spans="1:5" ht="15" customHeight="1" x14ac:dyDescent="0.2">
      <c r="A777" s="143" t="s">
        <v>978</v>
      </c>
      <c r="B777" s="143"/>
      <c r="C777" s="143"/>
      <c r="D777" s="143"/>
      <c r="E777" s="143"/>
    </row>
    <row r="778" spans="1:5" s="9" customFormat="1" ht="15" customHeight="1" x14ac:dyDescent="0.2">
      <c r="A778" s="27" t="s">
        <v>979</v>
      </c>
      <c r="B778" s="103" t="s">
        <v>1550</v>
      </c>
      <c r="C778" s="144"/>
      <c r="D778" s="26">
        <f>44000+1000</f>
        <v>45000</v>
      </c>
      <c r="E778" s="27" t="s">
        <v>1324</v>
      </c>
    </row>
    <row r="779" spans="1:5" ht="15" customHeight="1" x14ac:dyDescent="0.2">
      <c r="A779" s="143" t="s">
        <v>980</v>
      </c>
      <c r="B779" s="143"/>
      <c r="C779" s="143"/>
      <c r="D779" s="143"/>
      <c r="E779" s="143"/>
    </row>
    <row r="780" spans="1:5" ht="15" customHeight="1" x14ac:dyDescent="0.2">
      <c r="A780" s="27" t="s">
        <v>981</v>
      </c>
      <c r="B780" s="123" t="s">
        <v>1551</v>
      </c>
      <c r="C780" s="123"/>
      <c r="D780" s="26">
        <f>9200+500</f>
        <v>9700</v>
      </c>
      <c r="E780" s="27" t="s">
        <v>1322</v>
      </c>
    </row>
    <row r="781" spans="1:5" ht="15" customHeight="1" x14ac:dyDescent="0.15">
      <c r="A781" s="145" t="s">
        <v>982</v>
      </c>
      <c r="B781" s="145"/>
      <c r="C781" s="145"/>
      <c r="D781" s="145"/>
      <c r="E781" s="145"/>
    </row>
    <row r="782" spans="1:5" ht="15" customHeight="1" x14ac:dyDescent="0.15">
      <c r="A782" s="44" t="s">
        <v>983</v>
      </c>
      <c r="B782" s="146" t="s">
        <v>1552</v>
      </c>
      <c r="C782" s="146"/>
      <c r="D782" s="45">
        <f>4100+300</f>
        <v>4400</v>
      </c>
      <c r="E782" s="27" t="s">
        <v>1322</v>
      </c>
    </row>
    <row r="783" spans="1:5" ht="15" customHeight="1" x14ac:dyDescent="0.2">
      <c r="A783" s="143" t="s">
        <v>984</v>
      </c>
      <c r="B783" s="143"/>
      <c r="C783" s="143"/>
      <c r="D783" s="143"/>
      <c r="E783" s="143"/>
    </row>
    <row r="784" spans="1:5" ht="15" customHeight="1" x14ac:dyDescent="0.2">
      <c r="A784" s="27" t="s">
        <v>985</v>
      </c>
      <c r="B784" s="123" t="s">
        <v>1553</v>
      </c>
      <c r="C784" s="123"/>
      <c r="D784" s="26">
        <f>20500+1500</f>
        <v>22000</v>
      </c>
      <c r="E784" s="27" t="s">
        <v>1321</v>
      </c>
    </row>
    <row r="785" spans="1:5" ht="15" customHeight="1" x14ac:dyDescent="0.2">
      <c r="A785" s="143" t="s">
        <v>986</v>
      </c>
      <c r="B785" s="143"/>
      <c r="C785" s="143"/>
      <c r="D785" s="143"/>
      <c r="E785" s="143"/>
    </row>
    <row r="786" spans="1:5" ht="15" customHeight="1" x14ac:dyDescent="0.2">
      <c r="A786" s="27" t="s">
        <v>987</v>
      </c>
      <c r="B786" s="123" t="s">
        <v>1554</v>
      </c>
      <c r="C786" s="123"/>
      <c r="D786" s="26">
        <f>4600+300</f>
        <v>4900</v>
      </c>
      <c r="E786" s="27" t="s">
        <v>1321</v>
      </c>
    </row>
    <row r="787" spans="1:5" ht="15" customHeight="1" x14ac:dyDescent="0.2">
      <c r="A787" s="143" t="s">
        <v>988</v>
      </c>
      <c r="B787" s="143"/>
      <c r="C787" s="143"/>
      <c r="D787" s="143"/>
      <c r="E787" s="143"/>
    </row>
    <row r="788" spans="1:5" ht="15" customHeight="1" x14ac:dyDescent="0.2">
      <c r="A788" s="27" t="s">
        <v>989</v>
      </c>
      <c r="B788" s="123" t="s">
        <v>1555</v>
      </c>
      <c r="C788" s="123"/>
      <c r="D788" s="26">
        <f>6300+500</f>
        <v>6800</v>
      </c>
      <c r="E788" s="27" t="s">
        <v>1321</v>
      </c>
    </row>
    <row r="789" spans="1:5" ht="15" customHeight="1" x14ac:dyDescent="0.2">
      <c r="A789" s="27" t="s">
        <v>990</v>
      </c>
      <c r="B789" s="123" t="s">
        <v>1556</v>
      </c>
      <c r="C789" s="123"/>
      <c r="D789" s="26">
        <f>6300+500</f>
        <v>6800</v>
      </c>
      <c r="E789" s="27" t="s">
        <v>1321</v>
      </c>
    </row>
    <row r="790" spans="1:5" ht="15" customHeight="1" x14ac:dyDescent="0.2">
      <c r="A790" s="143" t="s">
        <v>991</v>
      </c>
      <c r="B790" s="143"/>
      <c r="C790" s="143"/>
      <c r="D790" s="143"/>
      <c r="E790" s="143"/>
    </row>
    <row r="791" spans="1:5" ht="15" customHeight="1" x14ac:dyDescent="0.2">
      <c r="A791" s="27" t="s">
        <v>992</v>
      </c>
      <c r="B791" s="123" t="s">
        <v>1557</v>
      </c>
      <c r="C791" s="123"/>
      <c r="D791" s="26">
        <f>8100+700</f>
        <v>8800</v>
      </c>
      <c r="E791" s="27" t="s">
        <v>1321</v>
      </c>
    </row>
    <row r="792" spans="1:5" ht="15" customHeight="1" x14ac:dyDescent="0.2">
      <c r="A792" s="136" t="s">
        <v>92</v>
      </c>
      <c r="B792" s="136"/>
      <c r="C792" s="136"/>
      <c r="D792" s="136"/>
      <c r="E792" s="136"/>
    </row>
    <row r="793" spans="1:5" ht="15" customHeight="1" x14ac:dyDescent="0.2">
      <c r="A793" s="122" t="s">
        <v>993</v>
      </c>
      <c r="B793" s="122"/>
      <c r="C793" s="122"/>
      <c r="D793" s="122"/>
      <c r="E793" s="122"/>
    </row>
    <row r="794" spans="1:5" s="5" customFormat="1" ht="54.75" customHeight="1" x14ac:dyDescent="0.2">
      <c r="A794" s="70" t="s">
        <v>1770</v>
      </c>
      <c r="B794" s="137" t="s">
        <v>1781</v>
      </c>
      <c r="C794" s="138"/>
      <c r="D794" s="79">
        <v>3600</v>
      </c>
      <c r="E794" s="67" t="s">
        <v>1803</v>
      </c>
    </row>
    <row r="795" spans="1:5" ht="15" customHeight="1" x14ac:dyDescent="0.2">
      <c r="A795" s="122" t="s">
        <v>96</v>
      </c>
      <c r="B795" s="122"/>
      <c r="C795" s="122"/>
      <c r="D795" s="122"/>
      <c r="E795" s="122"/>
    </row>
    <row r="796" spans="1:5" ht="72.75" customHeight="1" x14ac:dyDescent="0.2">
      <c r="A796" s="21" t="s">
        <v>51</v>
      </c>
      <c r="B796" s="127" t="s">
        <v>1558</v>
      </c>
      <c r="C796" s="127"/>
      <c r="D796" s="28">
        <f>3600+1500</f>
        <v>5100</v>
      </c>
      <c r="E796" s="27" t="s">
        <v>1018</v>
      </c>
    </row>
    <row r="797" spans="1:5" s="5" customFormat="1" ht="45" customHeight="1" x14ac:dyDescent="0.2">
      <c r="A797" s="67" t="s">
        <v>1771</v>
      </c>
      <c r="B797" s="139" t="s">
        <v>1772</v>
      </c>
      <c r="C797" s="140"/>
      <c r="D797" s="80">
        <v>4400</v>
      </c>
      <c r="E797" s="67" t="s">
        <v>1803</v>
      </c>
    </row>
    <row r="798" spans="1:5" s="5" customFormat="1" ht="53.25" customHeight="1" x14ac:dyDescent="0.2">
      <c r="A798" s="67" t="s">
        <v>1773</v>
      </c>
      <c r="B798" s="139" t="s">
        <v>1774</v>
      </c>
      <c r="C798" s="140"/>
      <c r="D798" s="80">
        <v>4700</v>
      </c>
      <c r="E798" s="67" t="s">
        <v>1803</v>
      </c>
    </row>
    <row r="799" spans="1:5" ht="33" customHeight="1" x14ac:dyDescent="0.2">
      <c r="A799" s="27" t="s">
        <v>994</v>
      </c>
      <c r="B799" s="127" t="s">
        <v>1559</v>
      </c>
      <c r="C799" s="127"/>
      <c r="D799" s="26">
        <v>900</v>
      </c>
      <c r="E799" s="24" t="s">
        <v>1326</v>
      </c>
    </row>
    <row r="800" spans="1:5" ht="31.5" customHeight="1" x14ac:dyDescent="0.2">
      <c r="A800" s="27" t="s">
        <v>995</v>
      </c>
      <c r="B800" s="127" t="s">
        <v>1560</v>
      </c>
      <c r="C800" s="127"/>
      <c r="D800" s="26">
        <v>1800</v>
      </c>
      <c r="E800" s="24" t="s">
        <v>1326</v>
      </c>
    </row>
    <row r="801" spans="1:5" ht="34.5" customHeight="1" x14ac:dyDescent="0.2">
      <c r="A801" s="27" t="s">
        <v>996</v>
      </c>
      <c r="B801" s="127" t="s">
        <v>1561</v>
      </c>
      <c r="C801" s="127"/>
      <c r="D801" s="26">
        <v>1800</v>
      </c>
      <c r="E801" s="24" t="s">
        <v>1326</v>
      </c>
    </row>
    <row r="802" spans="1:5" ht="42" customHeight="1" x14ac:dyDescent="0.2">
      <c r="A802" s="21" t="s">
        <v>52</v>
      </c>
      <c r="B802" s="127" t="s">
        <v>1562</v>
      </c>
      <c r="C802" s="127"/>
      <c r="D802" s="26">
        <v>2000</v>
      </c>
      <c r="E802" s="27" t="s">
        <v>1018</v>
      </c>
    </row>
    <row r="803" spans="1:5" ht="27" customHeight="1" x14ac:dyDescent="0.2">
      <c r="A803" s="27" t="s">
        <v>53</v>
      </c>
      <c r="B803" s="127" t="s">
        <v>1563</v>
      </c>
      <c r="C803" s="127"/>
      <c r="D803" s="26">
        <v>620</v>
      </c>
      <c r="E803" s="27" t="s">
        <v>1018</v>
      </c>
    </row>
    <row r="804" spans="1:5" ht="37.5" customHeight="1" x14ac:dyDescent="0.2">
      <c r="A804" s="27" t="s">
        <v>54</v>
      </c>
      <c r="B804" s="127" t="s">
        <v>1564</v>
      </c>
      <c r="C804" s="127"/>
      <c r="D804" s="26">
        <v>2600</v>
      </c>
      <c r="E804" s="27" t="s">
        <v>1018</v>
      </c>
    </row>
    <row r="805" spans="1:5" ht="14.5" customHeight="1" x14ac:dyDescent="0.2">
      <c r="A805" s="122" t="s">
        <v>97</v>
      </c>
      <c r="B805" s="122"/>
      <c r="C805" s="122"/>
      <c r="D805" s="122"/>
      <c r="E805" s="122"/>
    </row>
    <row r="806" spans="1:5" s="5" customFormat="1" ht="52.5" customHeight="1" x14ac:dyDescent="0.2">
      <c r="A806" s="67" t="s">
        <v>1775</v>
      </c>
      <c r="B806" s="141" t="s">
        <v>1776</v>
      </c>
      <c r="C806" s="142"/>
      <c r="D806" s="67">
        <v>3600</v>
      </c>
      <c r="E806" s="67" t="s">
        <v>1803</v>
      </c>
    </row>
    <row r="807" spans="1:5" ht="27" customHeight="1" x14ac:dyDescent="0.2">
      <c r="A807" s="27" t="s">
        <v>997</v>
      </c>
      <c r="B807" s="127" t="s">
        <v>1565</v>
      </c>
      <c r="C807" s="127"/>
      <c r="D807" s="26">
        <v>900</v>
      </c>
      <c r="E807" s="24" t="s">
        <v>1326</v>
      </c>
    </row>
    <row r="808" spans="1:5" ht="37.5" customHeight="1" x14ac:dyDescent="0.2">
      <c r="A808" s="27" t="s">
        <v>998</v>
      </c>
      <c r="B808" s="127" t="s">
        <v>1566</v>
      </c>
      <c r="C808" s="127"/>
      <c r="D808" s="26">
        <v>1800</v>
      </c>
      <c r="E808" s="24" t="s">
        <v>1326</v>
      </c>
    </row>
    <row r="809" spans="1:5" ht="42.75" customHeight="1" x14ac:dyDescent="0.2">
      <c r="A809" s="70" t="s">
        <v>1777</v>
      </c>
      <c r="B809" s="137" t="s">
        <v>1778</v>
      </c>
      <c r="C809" s="138"/>
      <c r="D809" s="79">
        <v>2200</v>
      </c>
      <c r="E809" s="67" t="s">
        <v>1803</v>
      </c>
    </row>
    <row r="810" spans="1:5" ht="25.5" customHeight="1" x14ac:dyDescent="0.2">
      <c r="A810" s="27" t="s">
        <v>1091</v>
      </c>
      <c r="B810" s="127" t="s">
        <v>1567</v>
      </c>
      <c r="C810" s="127"/>
      <c r="D810" s="29">
        <v>600</v>
      </c>
      <c r="E810" s="27" t="s">
        <v>1018</v>
      </c>
    </row>
    <row r="811" spans="1:5" ht="40.25" customHeight="1" x14ac:dyDescent="0.2">
      <c r="A811" s="27" t="s">
        <v>55</v>
      </c>
      <c r="B811" s="127" t="s">
        <v>1568</v>
      </c>
      <c r="C811" s="127"/>
      <c r="D811" s="26">
        <v>1600</v>
      </c>
      <c r="E811" s="27" t="s">
        <v>1018</v>
      </c>
    </row>
    <row r="812" spans="1:5" ht="27.75" customHeight="1" x14ac:dyDescent="0.2">
      <c r="A812" s="27" t="s">
        <v>999</v>
      </c>
      <c r="B812" s="127" t="s">
        <v>1569</v>
      </c>
      <c r="C812" s="127"/>
      <c r="D812" s="26">
        <v>1800</v>
      </c>
      <c r="E812" s="24" t="s">
        <v>1326</v>
      </c>
    </row>
    <row r="813" spans="1:5" x14ac:dyDescent="0.2">
      <c r="A813" s="122" t="s">
        <v>1000</v>
      </c>
      <c r="B813" s="122"/>
      <c r="C813" s="122"/>
      <c r="D813" s="122"/>
      <c r="E813" s="122"/>
    </row>
    <row r="814" spans="1:5" ht="48.75" customHeight="1" x14ac:dyDescent="0.2">
      <c r="A814" s="27" t="s">
        <v>1001</v>
      </c>
      <c r="B814" s="128" t="s">
        <v>1570</v>
      </c>
      <c r="C814" s="128"/>
      <c r="D814" s="29">
        <v>13500</v>
      </c>
      <c r="E814" s="24" t="s">
        <v>1327</v>
      </c>
    </row>
    <row r="815" spans="1:5" ht="30.75" customHeight="1" x14ac:dyDescent="0.2">
      <c r="A815" s="122" t="s">
        <v>1002</v>
      </c>
      <c r="B815" s="122"/>
      <c r="C815" s="122"/>
      <c r="D815" s="122"/>
      <c r="E815" s="122"/>
    </row>
    <row r="816" spans="1:5" ht="39" customHeight="1" x14ac:dyDescent="0.2">
      <c r="A816" s="27" t="s">
        <v>1003</v>
      </c>
      <c r="B816" s="128" t="s">
        <v>1571</v>
      </c>
      <c r="C816" s="128"/>
      <c r="D816" s="26">
        <v>1800</v>
      </c>
      <c r="E816" s="24" t="s">
        <v>1326</v>
      </c>
    </row>
    <row r="817" spans="1:5" ht="32.25" customHeight="1" x14ac:dyDescent="0.2">
      <c r="A817" s="27" t="s">
        <v>1004</v>
      </c>
      <c r="B817" s="128" t="s">
        <v>1572</v>
      </c>
      <c r="C817" s="128"/>
      <c r="D817" s="26">
        <v>3600</v>
      </c>
      <c r="E817" s="24" t="s">
        <v>1326</v>
      </c>
    </row>
    <row r="818" spans="1:5" ht="48" customHeight="1" x14ac:dyDescent="0.2">
      <c r="A818" s="27" t="s">
        <v>1005</v>
      </c>
      <c r="B818" s="128" t="s">
        <v>1573</v>
      </c>
      <c r="C818" s="128"/>
      <c r="D818" s="26">
        <v>3600</v>
      </c>
      <c r="E818" s="24" t="s">
        <v>1326</v>
      </c>
    </row>
    <row r="819" spans="1:5" ht="18.75" customHeight="1" x14ac:dyDescent="0.2">
      <c r="A819" s="27" t="s">
        <v>1006</v>
      </c>
      <c r="B819" s="128" t="s">
        <v>1574</v>
      </c>
      <c r="C819" s="128"/>
      <c r="D819" s="26">
        <v>5400</v>
      </c>
      <c r="E819" s="24" t="s">
        <v>1326</v>
      </c>
    </row>
    <row r="820" spans="1:5" ht="19.5" customHeight="1" x14ac:dyDescent="0.2">
      <c r="A820" s="27" t="s">
        <v>1007</v>
      </c>
      <c r="B820" s="128" t="s">
        <v>1575</v>
      </c>
      <c r="C820" s="128"/>
      <c r="D820" s="26">
        <v>3150</v>
      </c>
      <c r="E820" s="24" t="s">
        <v>1328</v>
      </c>
    </row>
    <row r="821" spans="1:5" ht="30" customHeight="1" x14ac:dyDescent="0.2">
      <c r="A821" s="122" t="s">
        <v>98</v>
      </c>
      <c r="B821" s="122"/>
      <c r="C821" s="122"/>
      <c r="D821" s="122"/>
      <c r="E821" s="122"/>
    </row>
    <row r="822" spans="1:5" ht="45.75" customHeight="1" x14ac:dyDescent="0.2">
      <c r="A822" s="27" t="s">
        <v>50</v>
      </c>
      <c r="B822" s="127" t="s">
        <v>1576</v>
      </c>
      <c r="C822" s="123"/>
      <c r="D822" s="26">
        <v>730</v>
      </c>
      <c r="E822" s="27" t="s">
        <v>1018</v>
      </c>
    </row>
    <row r="823" spans="1:5" ht="54" customHeight="1" x14ac:dyDescent="0.2">
      <c r="A823" s="21" t="s">
        <v>56</v>
      </c>
      <c r="B823" s="127" t="s">
        <v>1577</v>
      </c>
      <c r="C823" s="127"/>
      <c r="D823" s="26">
        <v>620</v>
      </c>
      <c r="E823" s="27" t="s">
        <v>1018</v>
      </c>
    </row>
    <row r="824" spans="1:5" ht="41.25" customHeight="1" x14ac:dyDescent="0.2">
      <c r="A824" s="27" t="s">
        <v>1695</v>
      </c>
      <c r="B824" s="127" t="s">
        <v>1578</v>
      </c>
      <c r="C824" s="123"/>
      <c r="D824" s="26">
        <v>3800</v>
      </c>
      <c r="E824" s="24" t="s">
        <v>1328</v>
      </c>
    </row>
    <row r="825" spans="1:5" ht="32.25" customHeight="1" x14ac:dyDescent="0.2">
      <c r="A825" s="27" t="s">
        <v>1008</v>
      </c>
      <c r="B825" s="127" t="s">
        <v>1579</v>
      </c>
      <c r="C825" s="127"/>
      <c r="D825" s="26">
        <v>900</v>
      </c>
      <c r="E825" s="24" t="s">
        <v>1326</v>
      </c>
    </row>
    <row r="826" spans="1:5" ht="15" customHeight="1" x14ac:dyDescent="0.2">
      <c r="A826" s="136" t="s">
        <v>100</v>
      </c>
      <c r="B826" s="136"/>
      <c r="C826" s="136"/>
      <c r="D826" s="136"/>
      <c r="E826" s="136"/>
    </row>
    <row r="827" spans="1:5" ht="57.75" customHeight="1" x14ac:dyDescent="0.2">
      <c r="A827" s="27" t="s">
        <v>1009</v>
      </c>
      <c r="B827" s="127" t="s">
        <v>1580</v>
      </c>
      <c r="C827" s="127"/>
      <c r="D827" s="26">
        <v>7700</v>
      </c>
      <c r="E827" s="24" t="s">
        <v>1326</v>
      </c>
    </row>
    <row r="828" spans="1:5" ht="51" customHeight="1" x14ac:dyDescent="0.2">
      <c r="A828" s="27" t="s">
        <v>57</v>
      </c>
      <c r="B828" s="127" t="s">
        <v>1581</v>
      </c>
      <c r="C828" s="127"/>
      <c r="D828" s="26">
        <f>2200+600</f>
        <v>2800</v>
      </c>
      <c r="E828" s="27" t="s">
        <v>1019</v>
      </c>
    </row>
    <row r="829" spans="1:5" s="9" customFormat="1" ht="32.25" customHeight="1" x14ac:dyDescent="0.2">
      <c r="A829" s="27" t="s">
        <v>1010</v>
      </c>
      <c r="B829" s="127" t="s">
        <v>1582</v>
      </c>
      <c r="C829" s="127"/>
      <c r="D829" s="26">
        <v>6800</v>
      </c>
      <c r="E829" s="27" t="s">
        <v>1329</v>
      </c>
    </row>
    <row r="830" spans="1:5" ht="30" customHeight="1" x14ac:dyDescent="0.2">
      <c r="A830" s="27" t="s">
        <v>1011</v>
      </c>
      <c r="B830" s="127" t="s">
        <v>1583</v>
      </c>
      <c r="C830" s="127"/>
      <c r="D830" s="26">
        <v>11700</v>
      </c>
      <c r="E830" s="27" t="s">
        <v>1329</v>
      </c>
    </row>
    <row r="831" spans="1:5" ht="40.25" customHeight="1" x14ac:dyDescent="0.2">
      <c r="A831" s="27" t="s">
        <v>1012</v>
      </c>
      <c r="B831" s="127" t="s">
        <v>1584</v>
      </c>
      <c r="C831" s="127"/>
      <c r="D831" s="26">
        <v>6800</v>
      </c>
      <c r="E831" s="27" t="s">
        <v>1329</v>
      </c>
    </row>
    <row r="832" spans="1:5" ht="40.5" customHeight="1" x14ac:dyDescent="0.2">
      <c r="A832" s="27" t="s">
        <v>1013</v>
      </c>
      <c r="B832" s="127" t="s">
        <v>1585</v>
      </c>
      <c r="C832" s="127"/>
      <c r="D832" s="26">
        <v>6800</v>
      </c>
      <c r="E832" s="27" t="s">
        <v>1329</v>
      </c>
    </row>
    <row r="833" spans="1:5" ht="40.5" customHeight="1" x14ac:dyDescent="0.2">
      <c r="A833" s="27" t="s">
        <v>1014</v>
      </c>
      <c r="B833" s="127" t="s">
        <v>1586</v>
      </c>
      <c r="C833" s="127"/>
      <c r="D833" s="26">
        <v>3600</v>
      </c>
      <c r="E833" s="27" t="s">
        <v>1327</v>
      </c>
    </row>
    <row r="834" spans="1:5" ht="16" x14ac:dyDescent="0.2">
      <c r="A834" s="136" t="s">
        <v>101</v>
      </c>
      <c r="B834" s="136"/>
      <c r="C834" s="136"/>
      <c r="D834" s="136"/>
      <c r="E834" s="136"/>
    </row>
    <row r="835" spans="1:5" x14ac:dyDescent="0.2">
      <c r="A835" s="122" t="s">
        <v>1015</v>
      </c>
      <c r="B835" s="122"/>
      <c r="C835" s="122"/>
      <c r="D835" s="122"/>
      <c r="E835" s="122"/>
    </row>
    <row r="836" spans="1:5" ht="42.75" customHeight="1" x14ac:dyDescent="0.2">
      <c r="A836" s="27" t="s">
        <v>1016</v>
      </c>
      <c r="B836" s="121" t="s">
        <v>1587</v>
      </c>
      <c r="C836" s="121"/>
      <c r="D836" s="29">
        <v>11000</v>
      </c>
      <c r="E836" s="27" t="s">
        <v>1327</v>
      </c>
    </row>
    <row r="837" spans="1:5" ht="33" customHeight="1" x14ac:dyDescent="0.2">
      <c r="A837" s="27" t="s">
        <v>1017</v>
      </c>
      <c r="B837" s="121" t="s">
        <v>1588</v>
      </c>
      <c r="C837" s="121"/>
      <c r="D837" s="29">
        <v>6500</v>
      </c>
      <c r="E837" s="27" t="s">
        <v>1327</v>
      </c>
    </row>
    <row r="838" spans="1:5" ht="18.75" customHeight="1" x14ac:dyDescent="0.2">
      <c r="A838" s="122" t="s">
        <v>102</v>
      </c>
      <c r="B838" s="122"/>
      <c r="C838" s="122"/>
      <c r="D838" s="122"/>
      <c r="E838" s="122"/>
    </row>
    <row r="839" spans="1:5" ht="36" customHeight="1" x14ac:dyDescent="0.2">
      <c r="A839" s="21" t="s">
        <v>59</v>
      </c>
      <c r="B839" s="123" t="s">
        <v>470</v>
      </c>
      <c r="C839" s="123"/>
      <c r="D839" s="26">
        <v>3600</v>
      </c>
      <c r="E839" s="27" t="s">
        <v>1018</v>
      </c>
    </row>
    <row r="840" spans="1:5" ht="98.25" customHeight="1" x14ac:dyDescent="0.2">
      <c r="A840" s="27" t="s">
        <v>787</v>
      </c>
      <c r="B840" s="123" t="s">
        <v>1589</v>
      </c>
      <c r="C840" s="123"/>
      <c r="D840" s="26">
        <v>32000</v>
      </c>
      <c r="E840" s="27" t="s">
        <v>1319</v>
      </c>
    </row>
    <row r="841" spans="1:5" ht="126.75" customHeight="1" x14ac:dyDescent="0.2">
      <c r="A841" s="27" t="s">
        <v>1382</v>
      </c>
      <c r="B841" s="103" t="s">
        <v>1590</v>
      </c>
      <c r="C841" s="104"/>
      <c r="D841" s="26">
        <v>42000</v>
      </c>
      <c r="E841" s="27" t="s">
        <v>1319</v>
      </c>
    </row>
    <row r="842" spans="1:5" ht="69" customHeight="1" x14ac:dyDescent="0.2">
      <c r="A842" s="27" t="s">
        <v>837</v>
      </c>
      <c r="B842" s="123" t="s">
        <v>1591</v>
      </c>
      <c r="C842" s="123"/>
      <c r="D842" s="26">
        <v>48500</v>
      </c>
      <c r="E842" s="27" t="s">
        <v>1319</v>
      </c>
    </row>
    <row r="843" spans="1:5" ht="44.25" customHeight="1" x14ac:dyDescent="0.2">
      <c r="A843" s="27" t="s">
        <v>1439</v>
      </c>
      <c r="B843" s="103" t="s">
        <v>1592</v>
      </c>
      <c r="C843" s="104"/>
      <c r="D843" s="26">
        <v>35000</v>
      </c>
      <c r="E843" s="27" t="s">
        <v>1319</v>
      </c>
    </row>
    <row r="844" spans="1:5" x14ac:dyDescent="0.2">
      <c r="A844" s="124" t="s">
        <v>1440</v>
      </c>
      <c r="B844" s="125"/>
      <c r="C844" s="125"/>
      <c r="D844" s="125"/>
      <c r="E844" s="126"/>
    </row>
    <row r="845" spans="1:5" ht="24" x14ac:dyDescent="0.2">
      <c r="A845" s="27" t="s">
        <v>1441</v>
      </c>
      <c r="B845" s="103" t="s">
        <v>1744</v>
      </c>
      <c r="C845" s="104"/>
      <c r="D845" s="26">
        <v>4200</v>
      </c>
      <c r="E845" s="27" t="s">
        <v>1743</v>
      </c>
    </row>
    <row r="846" spans="1:5" x14ac:dyDescent="0.2">
      <c r="A846" s="122" t="s">
        <v>469</v>
      </c>
      <c r="B846" s="122"/>
      <c r="C846" s="122"/>
      <c r="D846" s="122"/>
      <c r="E846" s="122"/>
    </row>
    <row r="847" spans="1:5" ht="34.5" customHeight="1" x14ac:dyDescent="0.2">
      <c r="A847" s="27" t="s">
        <v>1046</v>
      </c>
      <c r="B847" s="123" t="s">
        <v>1047</v>
      </c>
      <c r="C847" s="123"/>
      <c r="D847" s="26">
        <v>2000</v>
      </c>
      <c r="E847" s="27" t="s">
        <v>876</v>
      </c>
    </row>
    <row r="848" spans="1:5" ht="15" customHeight="1" x14ac:dyDescent="0.2">
      <c r="A848" s="135" t="s">
        <v>172</v>
      </c>
      <c r="B848" s="135"/>
      <c r="C848" s="135"/>
      <c r="D848" s="135"/>
      <c r="E848" s="135"/>
    </row>
    <row r="849" spans="1:6" ht="15" customHeight="1" x14ac:dyDescent="0.2">
      <c r="A849" s="112" t="s">
        <v>103</v>
      </c>
      <c r="B849" s="112"/>
      <c r="C849" s="112"/>
      <c r="D849" s="112"/>
      <c r="E849" s="112"/>
    </row>
    <row r="850" spans="1:6" ht="72" customHeight="1" x14ac:dyDescent="0.2">
      <c r="A850" s="27" t="s">
        <v>163</v>
      </c>
      <c r="B850" s="127" t="s">
        <v>1593</v>
      </c>
      <c r="C850" s="127"/>
      <c r="D850" s="26">
        <v>700</v>
      </c>
      <c r="E850" s="28" t="s">
        <v>1676</v>
      </c>
    </row>
    <row r="851" spans="1:6" ht="86.25" customHeight="1" x14ac:dyDescent="0.2">
      <c r="A851" s="27" t="s">
        <v>788</v>
      </c>
      <c r="B851" s="127" t="s">
        <v>1594</v>
      </c>
      <c r="C851" s="127"/>
      <c r="D851" s="26">
        <v>1050</v>
      </c>
      <c r="E851" s="28" t="s">
        <v>1671</v>
      </c>
    </row>
    <row r="852" spans="1:6" ht="63.75" customHeight="1" x14ac:dyDescent="0.2">
      <c r="A852" s="27" t="s">
        <v>695</v>
      </c>
      <c r="B852" s="129" t="s">
        <v>1595</v>
      </c>
      <c r="C852" s="130"/>
      <c r="D852" s="26">
        <v>500</v>
      </c>
      <c r="E852" s="28" t="s">
        <v>1671</v>
      </c>
    </row>
    <row r="853" spans="1:6" ht="51" customHeight="1" x14ac:dyDescent="0.2">
      <c r="A853" s="27" t="s">
        <v>1082</v>
      </c>
      <c r="B853" s="129" t="s">
        <v>1596</v>
      </c>
      <c r="C853" s="130"/>
      <c r="D853" s="26">
        <v>350</v>
      </c>
      <c r="E853" s="28" t="s">
        <v>1671</v>
      </c>
    </row>
    <row r="854" spans="1:6" x14ac:dyDescent="0.2">
      <c r="A854" s="112" t="s">
        <v>104</v>
      </c>
      <c r="B854" s="112"/>
      <c r="C854" s="112"/>
      <c r="D854" s="112"/>
      <c r="E854" s="112"/>
    </row>
    <row r="855" spans="1:6" x14ac:dyDescent="0.2">
      <c r="A855" s="27" t="s">
        <v>105</v>
      </c>
      <c r="B855" s="127" t="s">
        <v>106</v>
      </c>
      <c r="C855" s="127"/>
      <c r="D855" s="26">
        <v>150</v>
      </c>
      <c r="E855" s="27" t="s">
        <v>1258</v>
      </c>
    </row>
    <row r="856" spans="1:6" x14ac:dyDescent="0.2">
      <c r="A856" s="28" t="s">
        <v>1460</v>
      </c>
      <c r="B856" s="131" t="s">
        <v>1461</v>
      </c>
      <c r="C856" s="132"/>
      <c r="D856" s="26">
        <v>140</v>
      </c>
      <c r="E856" s="25" t="s">
        <v>1258</v>
      </c>
    </row>
    <row r="857" spans="1:6" s="5" customFormat="1" ht="30.75" customHeight="1" x14ac:dyDescent="0.2">
      <c r="A857" s="27" t="s">
        <v>1462</v>
      </c>
      <c r="B857" s="127" t="s">
        <v>107</v>
      </c>
      <c r="C857" s="127"/>
      <c r="D857" s="26">
        <v>400</v>
      </c>
      <c r="E857" s="71" t="s">
        <v>1335</v>
      </c>
      <c r="F857" s="5" t="s">
        <v>1780</v>
      </c>
    </row>
    <row r="858" spans="1:6" s="5" customFormat="1" ht="19.5" customHeight="1" x14ac:dyDescent="0.2">
      <c r="A858" s="27" t="s">
        <v>1463</v>
      </c>
      <c r="B858" s="127" t="s">
        <v>108</v>
      </c>
      <c r="C858" s="127"/>
      <c r="D858" s="26">
        <v>400</v>
      </c>
      <c r="E858" s="71" t="s">
        <v>1335</v>
      </c>
    </row>
    <row r="859" spans="1:6" s="5" customFormat="1" ht="32.25" customHeight="1" x14ac:dyDescent="0.2">
      <c r="A859" s="27" t="s">
        <v>496</v>
      </c>
      <c r="B859" s="127" t="s">
        <v>466</v>
      </c>
      <c r="C859" s="127"/>
      <c r="D859" s="26">
        <v>850</v>
      </c>
      <c r="E859" s="28" t="s">
        <v>1676</v>
      </c>
    </row>
    <row r="860" spans="1:6" ht="68.25" customHeight="1" x14ac:dyDescent="0.2">
      <c r="A860" s="27" t="s">
        <v>164</v>
      </c>
      <c r="B860" s="111" t="s">
        <v>1593</v>
      </c>
      <c r="C860" s="111"/>
      <c r="D860" s="26">
        <v>700</v>
      </c>
      <c r="E860" s="28" t="s">
        <v>1676</v>
      </c>
    </row>
    <row r="861" spans="1:6" ht="79.5" customHeight="1" x14ac:dyDescent="0.2">
      <c r="A861" s="27" t="s">
        <v>789</v>
      </c>
      <c r="B861" s="111" t="s">
        <v>1594</v>
      </c>
      <c r="C861" s="111"/>
      <c r="D861" s="26">
        <v>1050</v>
      </c>
      <c r="E861" s="28" t="s">
        <v>1671</v>
      </c>
    </row>
    <row r="862" spans="1:6" ht="64.5" customHeight="1" x14ac:dyDescent="0.2">
      <c r="A862" s="27" t="s">
        <v>696</v>
      </c>
      <c r="B862" s="111" t="s">
        <v>1597</v>
      </c>
      <c r="C862" s="111"/>
      <c r="D862" s="26">
        <v>500</v>
      </c>
      <c r="E862" s="28" t="s">
        <v>1671</v>
      </c>
    </row>
    <row r="863" spans="1:6" ht="51.75" customHeight="1" x14ac:dyDescent="0.2">
      <c r="A863" s="27" t="s">
        <v>1083</v>
      </c>
      <c r="B863" s="111" t="s">
        <v>1596</v>
      </c>
      <c r="C863" s="111"/>
      <c r="D863" s="26">
        <v>350</v>
      </c>
      <c r="E863" s="28" t="s">
        <v>1671</v>
      </c>
    </row>
    <row r="864" spans="1:6" x14ac:dyDescent="0.2">
      <c r="A864" s="112" t="s">
        <v>109</v>
      </c>
      <c r="B864" s="112"/>
      <c r="C864" s="112"/>
      <c r="D864" s="112"/>
      <c r="E864" s="112"/>
    </row>
    <row r="865" spans="1:5" ht="90" customHeight="1" x14ac:dyDescent="0.2">
      <c r="A865" s="27" t="s">
        <v>61</v>
      </c>
      <c r="B865" s="127" t="s">
        <v>1727</v>
      </c>
      <c r="C865" s="127"/>
      <c r="D865" s="26">
        <v>1000</v>
      </c>
      <c r="E865" s="28" t="s">
        <v>1677</v>
      </c>
    </row>
    <row r="866" spans="1:5" ht="91.5" customHeight="1" x14ac:dyDescent="0.2">
      <c r="A866" s="27" t="s">
        <v>60</v>
      </c>
      <c r="B866" s="127" t="s">
        <v>1728</v>
      </c>
      <c r="C866" s="127"/>
      <c r="D866" s="26">
        <v>1100</v>
      </c>
      <c r="E866" s="28" t="s">
        <v>1677</v>
      </c>
    </row>
    <row r="867" spans="1:5" ht="72.75" customHeight="1" x14ac:dyDescent="0.2">
      <c r="A867" s="27" t="s">
        <v>736</v>
      </c>
      <c r="B867" s="133" t="s">
        <v>1729</v>
      </c>
      <c r="C867" s="134"/>
      <c r="D867" s="26">
        <v>500</v>
      </c>
      <c r="E867" s="28" t="s">
        <v>1676</v>
      </c>
    </row>
    <row r="868" spans="1:5" ht="59.25" customHeight="1" x14ac:dyDescent="0.2">
      <c r="A868" s="27" t="s">
        <v>887</v>
      </c>
      <c r="B868" s="127" t="s">
        <v>1730</v>
      </c>
      <c r="C868" s="127"/>
      <c r="D868" s="26">
        <v>300</v>
      </c>
      <c r="E868" s="28" t="s">
        <v>1676</v>
      </c>
    </row>
    <row r="869" spans="1:5" ht="64.5" customHeight="1" x14ac:dyDescent="0.2">
      <c r="A869" s="27" t="s">
        <v>697</v>
      </c>
      <c r="B869" s="129" t="s">
        <v>1598</v>
      </c>
      <c r="C869" s="130"/>
      <c r="D869" s="26">
        <v>500</v>
      </c>
      <c r="E869" s="28" t="s">
        <v>1671</v>
      </c>
    </row>
    <row r="870" spans="1:5" s="5" customFormat="1" ht="52.5" customHeight="1" x14ac:dyDescent="0.2">
      <c r="A870" s="27" t="s">
        <v>1084</v>
      </c>
      <c r="B870" s="129" t="s">
        <v>1596</v>
      </c>
      <c r="C870" s="130"/>
      <c r="D870" s="26">
        <v>350</v>
      </c>
      <c r="E870" s="28" t="s">
        <v>1671</v>
      </c>
    </row>
    <row r="871" spans="1:5" x14ac:dyDescent="0.2">
      <c r="A871" s="112" t="s">
        <v>111</v>
      </c>
      <c r="B871" s="112"/>
      <c r="C871" s="112"/>
      <c r="D871" s="112"/>
      <c r="E871" s="112"/>
    </row>
    <row r="872" spans="1:5" s="5" customFormat="1" ht="67.5" customHeight="1" x14ac:dyDescent="0.2">
      <c r="A872" s="27" t="s">
        <v>888</v>
      </c>
      <c r="B872" s="129" t="s">
        <v>1593</v>
      </c>
      <c r="C872" s="130"/>
      <c r="D872" s="26">
        <v>700</v>
      </c>
      <c r="E872" s="28" t="s">
        <v>1676</v>
      </c>
    </row>
    <row r="873" spans="1:5" x14ac:dyDescent="0.2">
      <c r="A873" s="27" t="s">
        <v>165</v>
      </c>
      <c r="B873" s="127" t="s">
        <v>112</v>
      </c>
      <c r="C873" s="127"/>
      <c r="D873" s="26">
        <v>500</v>
      </c>
      <c r="E873" s="28" t="s">
        <v>1676</v>
      </c>
    </row>
    <row r="874" spans="1:5" x14ac:dyDescent="0.2">
      <c r="A874" s="27" t="s">
        <v>160</v>
      </c>
      <c r="B874" s="127" t="s">
        <v>161</v>
      </c>
      <c r="C874" s="127"/>
      <c r="D874" s="26">
        <v>500</v>
      </c>
      <c r="E874" s="28" t="s">
        <v>1676</v>
      </c>
    </row>
    <row r="875" spans="1:5" s="5" customFormat="1" x14ac:dyDescent="0.2">
      <c r="A875" s="112" t="s">
        <v>113</v>
      </c>
      <c r="B875" s="112"/>
      <c r="C875" s="112"/>
      <c r="D875" s="112"/>
      <c r="E875" s="112"/>
    </row>
    <row r="876" spans="1:5" s="5" customFormat="1" x14ac:dyDescent="0.2">
      <c r="A876" s="28" t="s">
        <v>1678</v>
      </c>
      <c r="B876" s="133" t="s">
        <v>121</v>
      </c>
      <c r="C876" s="134"/>
      <c r="D876" s="28">
        <v>150</v>
      </c>
      <c r="E876" s="28" t="s">
        <v>1258</v>
      </c>
    </row>
    <row r="877" spans="1:5" ht="65.25" customHeight="1" x14ac:dyDescent="0.2">
      <c r="A877" s="27" t="s">
        <v>166</v>
      </c>
      <c r="B877" s="111" t="s">
        <v>1593</v>
      </c>
      <c r="C877" s="111"/>
      <c r="D877" s="26">
        <v>700</v>
      </c>
      <c r="E877" s="28" t="s">
        <v>1676</v>
      </c>
    </row>
    <row r="878" spans="1:5" s="14" customFormat="1" ht="78" customHeight="1" x14ac:dyDescent="0.2">
      <c r="A878" s="27" t="s">
        <v>790</v>
      </c>
      <c r="B878" s="111" t="s">
        <v>1594</v>
      </c>
      <c r="C878" s="111"/>
      <c r="D878" s="26">
        <v>1050</v>
      </c>
      <c r="E878" s="28" t="s">
        <v>1671</v>
      </c>
    </row>
    <row r="879" spans="1:5" ht="63.75" customHeight="1" x14ac:dyDescent="0.2">
      <c r="A879" s="27" t="s">
        <v>698</v>
      </c>
      <c r="B879" s="111" t="s">
        <v>1598</v>
      </c>
      <c r="C879" s="111"/>
      <c r="D879" s="26">
        <v>500</v>
      </c>
      <c r="E879" s="28" t="s">
        <v>1671</v>
      </c>
    </row>
    <row r="880" spans="1:5" ht="53.25" customHeight="1" x14ac:dyDescent="0.2">
      <c r="A880" s="27" t="s">
        <v>1085</v>
      </c>
      <c r="B880" s="111" t="s">
        <v>1599</v>
      </c>
      <c r="C880" s="111"/>
      <c r="D880" s="26">
        <v>350</v>
      </c>
      <c r="E880" s="28" t="s">
        <v>1671</v>
      </c>
    </row>
    <row r="881" spans="1:5" s="5" customFormat="1" x14ac:dyDescent="0.2">
      <c r="A881" s="112" t="s">
        <v>114</v>
      </c>
      <c r="B881" s="112"/>
      <c r="C881" s="112"/>
      <c r="D881" s="112"/>
      <c r="E881" s="112"/>
    </row>
    <row r="882" spans="1:5" x14ac:dyDescent="0.2">
      <c r="A882" s="27" t="s">
        <v>1407</v>
      </c>
      <c r="B882" s="133" t="s">
        <v>1745</v>
      </c>
      <c r="C882" s="134"/>
      <c r="D882" s="28">
        <v>140</v>
      </c>
      <c r="E882" s="27" t="s">
        <v>1408</v>
      </c>
    </row>
    <row r="883" spans="1:5" s="14" customFormat="1" ht="66" customHeight="1" x14ac:dyDescent="0.2">
      <c r="A883" s="27" t="s">
        <v>167</v>
      </c>
      <c r="B883" s="111" t="s">
        <v>1600</v>
      </c>
      <c r="C883" s="111"/>
      <c r="D883" s="26">
        <v>700</v>
      </c>
      <c r="E883" s="28" t="s">
        <v>1676</v>
      </c>
    </row>
    <row r="884" spans="1:5" ht="76.5" customHeight="1" x14ac:dyDescent="0.2">
      <c r="A884" s="27" t="s">
        <v>791</v>
      </c>
      <c r="B884" s="111" t="s">
        <v>1594</v>
      </c>
      <c r="C884" s="111"/>
      <c r="D884" s="26">
        <v>1050</v>
      </c>
      <c r="E884" s="28" t="s">
        <v>1671</v>
      </c>
    </row>
    <row r="885" spans="1:5" ht="65.25" customHeight="1" x14ac:dyDescent="0.2">
      <c r="A885" s="27" t="s">
        <v>699</v>
      </c>
      <c r="B885" s="111" t="s">
        <v>1601</v>
      </c>
      <c r="C885" s="111"/>
      <c r="D885" s="26">
        <v>500</v>
      </c>
      <c r="E885" s="28" t="s">
        <v>1671</v>
      </c>
    </row>
    <row r="886" spans="1:5" ht="53.25" customHeight="1" x14ac:dyDescent="0.2">
      <c r="A886" s="27" t="s">
        <v>1086</v>
      </c>
      <c r="B886" s="111" t="s">
        <v>1599</v>
      </c>
      <c r="C886" s="111"/>
      <c r="D886" s="26">
        <v>350</v>
      </c>
      <c r="E886" s="28" t="s">
        <v>1671</v>
      </c>
    </row>
    <row r="887" spans="1:5" x14ac:dyDescent="0.2">
      <c r="A887" s="112" t="s">
        <v>800</v>
      </c>
      <c r="B887" s="112"/>
      <c r="C887" s="112"/>
      <c r="D887" s="112"/>
      <c r="E887" s="112"/>
    </row>
    <row r="888" spans="1:5" ht="28.5" customHeight="1" x14ac:dyDescent="0.2">
      <c r="A888" s="27" t="s">
        <v>115</v>
      </c>
      <c r="B888" s="176" t="s">
        <v>1464</v>
      </c>
      <c r="C888" s="176"/>
      <c r="D888" s="26">
        <v>140</v>
      </c>
      <c r="E888" s="27" t="s">
        <v>1298</v>
      </c>
    </row>
    <row r="889" spans="1:5" ht="66.75" customHeight="1" x14ac:dyDescent="0.2">
      <c r="A889" s="27" t="s">
        <v>168</v>
      </c>
      <c r="B889" s="111" t="s">
        <v>1593</v>
      </c>
      <c r="C889" s="111"/>
      <c r="D889" s="26">
        <v>700</v>
      </c>
      <c r="E889" s="28" t="s">
        <v>1676</v>
      </c>
    </row>
    <row r="890" spans="1:5" s="5" customFormat="1" ht="78.75" customHeight="1" x14ac:dyDescent="0.2">
      <c r="A890" s="27" t="s">
        <v>792</v>
      </c>
      <c r="B890" s="111" t="s">
        <v>1594</v>
      </c>
      <c r="C890" s="111"/>
      <c r="D890" s="26">
        <v>1050</v>
      </c>
      <c r="E890" s="28" t="s">
        <v>1671</v>
      </c>
    </row>
    <row r="891" spans="1:5" s="5" customFormat="1" ht="66.75" customHeight="1" x14ac:dyDescent="0.2">
      <c r="A891" s="27" t="s">
        <v>700</v>
      </c>
      <c r="B891" s="111" t="s">
        <v>1598</v>
      </c>
      <c r="C891" s="111"/>
      <c r="D891" s="26">
        <v>500</v>
      </c>
      <c r="E891" s="28" t="s">
        <v>1671</v>
      </c>
    </row>
    <row r="892" spans="1:5" ht="51.75" customHeight="1" x14ac:dyDescent="0.2">
      <c r="A892" s="27" t="s">
        <v>1087</v>
      </c>
      <c r="B892" s="111" t="s">
        <v>1599</v>
      </c>
      <c r="C892" s="111"/>
      <c r="D892" s="26">
        <v>350</v>
      </c>
      <c r="E892" s="28" t="s">
        <v>1671</v>
      </c>
    </row>
    <row r="893" spans="1:5" x14ac:dyDescent="0.2">
      <c r="A893" s="27" t="s">
        <v>801</v>
      </c>
      <c r="B893" s="127" t="s">
        <v>112</v>
      </c>
      <c r="C893" s="127"/>
      <c r="D893" s="26">
        <v>550</v>
      </c>
      <c r="E893" s="28" t="s">
        <v>1676</v>
      </c>
    </row>
    <row r="894" spans="1:5" x14ac:dyDescent="0.2">
      <c r="A894" s="27" t="s">
        <v>802</v>
      </c>
      <c r="B894" s="127" t="s">
        <v>161</v>
      </c>
      <c r="C894" s="127"/>
      <c r="D894" s="26">
        <v>550</v>
      </c>
      <c r="E894" s="28" t="s">
        <v>1676</v>
      </c>
    </row>
    <row r="895" spans="1:5" x14ac:dyDescent="0.2">
      <c r="A895" s="27" t="s">
        <v>884</v>
      </c>
      <c r="B895" s="127" t="s">
        <v>885</v>
      </c>
      <c r="C895" s="127"/>
      <c r="D895" s="26">
        <v>300</v>
      </c>
      <c r="E895" s="28" t="s">
        <v>1714</v>
      </c>
    </row>
    <row r="896" spans="1:5" x14ac:dyDescent="0.2">
      <c r="A896" s="27" t="s">
        <v>169</v>
      </c>
      <c r="B896" s="127" t="s">
        <v>116</v>
      </c>
      <c r="C896" s="127"/>
      <c r="D896" s="26">
        <v>550</v>
      </c>
      <c r="E896" s="28" t="s">
        <v>1671</v>
      </c>
    </row>
    <row r="897" spans="1:5" s="5" customFormat="1" x14ac:dyDescent="0.2">
      <c r="A897" s="27" t="s">
        <v>803</v>
      </c>
      <c r="B897" s="127" t="s">
        <v>468</v>
      </c>
      <c r="C897" s="127"/>
      <c r="D897" s="26">
        <v>500</v>
      </c>
      <c r="E897" s="28" t="s">
        <v>1671</v>
      </c>
    </row>
    <row r="898" spans="1:5" s="5" customFormat="1" x14ac:dyDescent="0.2">
      <c r="A898" s="27" t="s">
        <v>804</v>
      </c>
      <c r="B898" s="127" t="s">
        <v>467</v>
      </c>
      <c r="C898" s="127"/>
      <c r="D898" s="26">
        <v>300</v>
      </c>
      <c r="E898" s="25" t="s">
        <v>1679</v>
      </c>
    </row>
    <row r="899" spans="1:5" x14ac:dyDescent="0.2">
      <c r="A899" s="112" t="s">
        <v>1465</v>
      </c>
      <c r="B899" s="112"/>
      <c r="C899" s="112"/>
      <c r="D899" s="112"/>
      <c r="E899" s="112"/>
    </row>
    <row r="900" spans="1:5" x14ac:dyDescent="0.2">
      <c r="A900" s="27" t="s">
        <v>1406</v>
      </c>
      <c r="B900" s="133" t="s">
        <v>1746</v>
      </c>
      <c r="C900" s="134"/>
      <c r="D900" s="28">
        <v>140</v>
      </c>
      <c r="E900" s="27" t="s">
        <v>1258</v>
      </c>
    </row>
    <row r="901" spans="1:5" ht="63.75" customHeight="1" x14ac:dyDescent="0.2">
      <c r="A901" s="27" t="s">
        <v>805</v>
      </c>
      <c r="B901" s="111" t="s">
        <v>1593</v>
      </c>
      <c r="C901" s="111"/>
      <c r="D901" s="26">
        <v>700</v>
      </c>
      <c r="E901" s="28" t="s">
        <v>1676</v>
      </c>
    </row>
    <row r="902" spans="1:5" ht="83.25" customHeight="1" x14ac:dyDescent="0.2">
      <c r="A902" s="27" t="s">
        <v>806</v>
      </c>
      <c r="B902" s="111" t="s">
        <v>1594</v>
      </c>
      <c r="C902" s="111"/>
      <c r="D902" s="26">
        <v>1050</v>
      </c>
      <c r="E902" s="28" t="s">
        <v>1671</v>
      </c>
    </row>
    <row r="903" spans="1:5" ht="66.75" customHeight="1" x14ac:dyDescent="0.2">
      <c r="A903" s="27" t="s">
        <v>807</v>
      </c>
      <c r="B903" s="111" t="s">
        <v>1598</v>
      </c>
      <c r="C903" s="111"/>
      <c r="D903" s="26">
        <v>500</v>
      </c>
      <c r="E903" s="28" t="s">
        <v>1671</v>
      </c>
    </row>
    <row r="904" spans="1:5" ht="53.25" customHeight="1" x14ac:dyDescent="0.2">
      <c r="A904" s="27" t="s">
        <v>1088</v>
      </c>
      <c r="B904" s="111" t="s">
        <v>1599</v>
      </c>
      <c r="C904" s="111"/>
      <c r="D904" s="26">
        <v>350</v>
      </c>
      <c r="E904" s="28" t="s">
        <v>1671</v>
      </c>
    </row>
    <row r="905" spans="1:5" x14ac:dyDescent="0.2">
      <c r="A905" s="27" t="s">
        <v>808</v>
      </c>
      <c r="B905" s="127" t="s">
        <v>112</v>
      </c>
      <c r="C905" s="127"/>
      <c r="D905" s="26">
        <v>550</v>
      </c>
      <c r="E905" s="28" t="s">
        <v>1676</v>
      </c>
    </row>
    <row r="906" spans="1:5" s="5" customFormat="1" x14ac:dyDescent="0.2">
      <c r="A906" s="27" t="s">
        <v>809</v>
      </c>
      <c r="B906" s="127" t="s">
        <v>161</v>
      </c>
      <c r="C906" s="127"/>
      <c r="D906" s="26">
        <v>550</v>
      </c>
      <c r="E906" s="28" t="s">
        <v>1676</v>
      </c>
    </row>
    <row r="907" spans="1:5" s="5" customFormat="1" x14ac:dyDescent="0.2">
      <c r="A907" s="27" t="s">
        <v>886</v>
      </c>
      <c r="B907" s="127" t="s">
        <v>885</v>
      </c>
      <c r="C907" s="127"/>
      <c r="D907" s="26">
        <v>300</v>
      </c>
      <c r="E907" s="27" t="s">
        <v>1714</v>
      </c>
    </row>
    <row r="908" spans="1:5" x14ac:dyDescent="0.2">
      <c r="A908" s="27" t="s">
        <v>810</v>
      </c>
      <c r="B908" s="127" t="s">
        <v>116</v>
      </c>
      <c r="C908" s="127"/>
      <c r="D908" s="26">
        <v>550</v>
      </c>
      <c r="E908" s="28" t="s">
        <v>1676</v>
      </c>
    </row>
    <row r="909" spans="1:5" s="5" customFormat="1" x14ac:dyDescent="0.2">
      <c r="A909" s="27" t="s">
        <v>811</v>
      </c>
      <c r="B909" s="127" t="s">
        <v>468</v>
      </c>
      <c r="C909" s="127"/>
      <c r="D909" s="26">
        <v>500</v>
      </c>
      <c r="E909" s="28" t="s">
        <v>1676</v>
      </c>
    </row>
    <row r="910" spans="1:5" x14ac:dyDescent="0.2">
      <c r="A910" s="27" t="s">
        <v>812</v>
      </c>
      <c r="B910" s="127" t="s">
        <v>467</v>
      </c>
      <c r="C910" s="127"/>
      <c r="D910" s="26">
        <v>300</v>
      </c>
      <c r="E910" s="25" t="s">
        <v>1679</v>
      </c>
    </row>
    <row r="911" spans="1:5" ht="15" customHeight="1" x14ac:dyDescent="0.2">
      <c r="A911" s="112" t="s">
        <v>117</v>
      </c>
      <c r="B911" s="112"/>
      <c r="C911" s="112"/>
      <c r="D911" s="112"/>
      <c r="E911" s="112"/>
    </row>
    <row r="912" spans="1:5" s="5" customFormat="1" ht="18" customHeight="1" x14ac:dyDescent="0.2">
      <c r="A912" s="27" t="s">
        <v>119</v>
      </c>
      <c r="B912" s="127" t="s">
        <v>121</v>
      </c>
      <c r="C912" s="127"/>
      <c r="D912" s="26">
        <v>140</v>
      </c>
      <c r="E912" s="27" t="s">
        <v>1298</v>
      </c>
    </row>
    <row r="913" spans="1:5" s="5" customFormat="1" ht="27" customHeight="1" x14ac:dyDescent="0.2">
      <c r="A913" s="27" t="s">
        <v>122</v>
      </c>
      <c r="B913" s="127" t="s">
        <v>123</v>
      </c>
      <c r="C913" s="127"/>
      <c r="D913" s="26">
        <v>140</v>
      </c>
      <c r="E913" s="27" t="s">
        <v>1298</v>
      </c>
    </row>
    <row r="914" spans="1:5" ht="64.5" customHeight="1" x14ac:dyDescent="0.2">
      <c r="A914" s="27" t="s">
        <v>170</v>
      </c>
      <c r="B914" s="111" t="s">
        <v>1593</v>
      </c>
      <c r="C914" s="111"/>
      <c r="D914" s="26">
        <v>700</v>
      </c>
      <c r="E914" s="28" t="s">
        <v>1676</v>
      </c>
    </row>
    <row r="915" spans="1:5" ht="77.25" customHeight="1" x14ac:dyDescent="0.2">
      <c r="A915" s="27" t="s">
        <v>793</v>
      </c>
      <c r="B915" s="111" t="s">
        <v>1594</v>
      </c>
      <c r="C915" s="111"/>
      <c r="D915" s="26">
        <v>1050</v>
      </c>
      <c r="E915" s="28" t="s">
        <v>1671</v>
      </c>
    </row>
    <row r="916" spans="1:5" ht="52.5" customHeight="1" x14ac:dyDescent="0.2">
      <c r="A916" s="27" t="s">
        <v>701</v>
      </c>
      <c r="B916" s="111" t="s">
        <v>1602</v>
      </c>
      <c r="C916" s="111"/>
      <c r="D916" s="26">
        <v>500</v>
      </c>
      <c r="E916" s="28" t="s">
        <v>1671</v>
      </c>
    </row>
    <row r="917" spans="1:5" ht="52.5" customHeight="1" x14ac:dyDescent="0.2">
      <c r="A917" s="27" t="s">
        <v>1089</v>
      </c>
      <c r="B917" s="111" t="s">
        <v>1599</v>
      </c>
      <c r="C917" s="111"/>
      <c r="D917" s="26">
        <v>350</v>
      </c>
      <c r="E917" s="28" t="s">
        <v>1671</v>
      </c>
    </row>
    <row r="918" spans="1:5" x14ac:dyDescent="0.2">
      <c r="A918" s="112" t="s">
        <v>124</v>
      </c>
      <c r="B918" s="112"/>
      <c r="C918" s="112"/>
      <c r="D918" s="112"/>
      <c r="E918" s="112"/>
    </row>
    <row r="919" spans="1:5" s="5" customFormat="1" ht="15" customHeight="1" x14ac:dyDescent="0.2">
      <c r="A919" s="27" t="s">
        <v>1405</v>
      </c>
      <c r="B919" s="133" t="s">
        <v>1746</v>
      </c>
      <c r="C919" s="134"/>
      <c r="D919" s="28">
        <v>140</v>
      </c>
      <c r="E919" s="27" t="s">
        <v>1258</v>
      </c>
    </row>
    <row r="920" spans="1:5" ht="63.75" customHeight="1" x14ac:dyDescent="0.2">
      <c r="A920" s="27" t="s">
        <v>171</v>
      </c>
      <c r="B920" s="111" t="s">
        <v>1593</v>
      </c>
      <c r="C920" s="111"/>
      <c r="D920" s="26">
        <v>700</v>
      </c>
      <c r="E920" s="28" t="s">
        <v>1676</v>
      </c>
    </row>
    <row r="921" spans="1:5" ht="75.75" customHeight="1" x14ac:dyDescent="0.2">
      <c r="A921" s="27" t="s">
        <v>794</v>
      </c>
      <c r="B921" s="111" t="s">
        <v>1594</v>
      </c>
      <c r="C921" s="111"/>
      <c r="D921" s="26">
        <v>1050</v>
      </c>
      <c r="E921" s="28" t="s">
        <v>1671</v>
      </c>
    </row>
    <row r="922" spans="1:5" ht="65.25" customHeight="1" x14ac:dyDescent="0.2">
      <c r="A922" s="27" t="s">
        <v>702</v>
      </c>
      <c r="B922" s="111" t="s">
        <v>1603</v>
      </c>
      <c r="C922" s="111"/>
      <c r="D922" s="26">
        <v>500</v>
      </c>
      <c r="E922" s="28" t="s">
        <v>1671</v>
      </c>
    </row>
    <row r="923" spans="1:5" ht="51" customHeight="1" x14ac:dyDescent="0.2">
      <c r="A923" s="27" t="s">
        <v>1090</v>
      </c>
      <c r="B923" s="111" t="s">
        <v>1599</v>
      </c>
      <c r="C923" s="111"/>
      <c r="D923" s="26">
        <v>350</v>
      </c>
      <c r="E923" s="28" t="s">
        <v>1671</v>
      </c>
    </row>
    <row r="924" spans="1:5" x14ac:dyDescent="0.2">
      <c r="A924" s="27" t="s">
        <v>173</v>
      </c>
      <c r="B924" s="127" t="s">
        <v>112</v>
      </c>
      <c r="C924" s="127"/>
      <c r="D924" s="26">
        <v>550</v>
      </c>
      <c r="E924" s="28" t="s">
        <v>1676</v>
      </c>
    </row>
    <row r="925" spans="1:5" x14ac:dyDescent="0.2">
      <c r="A925" s="27" t="s">
        <v>162</v>
      </c>
      <c r="B925" s="127" t="s">
        <v>161</v>
      </c>
      <c r="C925" s="127"/>
      <c r="D925" s="26">
        <v>550</v>
      </c>
      <c r="E925" s="28" t="s">
        <v>1676</v>
      </c>
    </row>
    <row r="926" spans="1:5" x14ac:dyDescent="0.2">
      <c r="A926" s="27" t="s">
        <v>174</v>
      </c>
      <c r="B926" s="127" t="s">
        <v>116</v>
      </c>
      <c r="C926" s="127"/>
      <c r="D926" s="26">
        <v>550</v>
      </c>
      <c r="E926" s="28" t="s">
        <v>1676</v>
      </c>
    </row>
    <row r="927" spans="1:5" s="5" customFormat="1" x14ac:dyDescent="0.2">
      <c r="A927" s="112" t="s">
        <v>814</v>
      </c>
      <c r="B927" s="112"/>
      <c r="C927" s="112"/>
      <c r="D927" s="112"/>
      <c r="E927" s="112"/>
    </row>
    <row r="928" spans="1:5" ht="64.5" customHeight="1" x14ac:dyDescent="0.2">
      <c r="A928" s="27" t="s">
        <v>175</v>
      </c>
      <c r="B928" s="129" t="s">
        <v>1593</v>
      </c>
      <c r="C928" s="130"/>
      <c r="D928" s="26">
        <v>700</v>
      </c>
      <c r="E928" s="28" t="s">
        <v>1676</v>
      </c>
    </row>
    <row r="929" spans="1:5" ht="18.75" customHeight="1" x14ac:dyDescent="0.2">
      <c r="A929" s="66" t="s">
        <v>125</v>
      </c>
      <c r="B929" s="113" t="s">
        <v>1078</v>
      </c>
      <c r="C929" s="113"/>
      <c r="D929" s="112" t="s">
        <v>872</v>
      </c>
      <c r="E929" s="114" t="s">
        <v>1127</v>
      </c>
    </row>
    <row r="930" spans="1:5" ht="15" customHeight="1" x14ac:dyDescent="0.2">
      <c r="A930" s="112" t="s">
        <v>482</v>
      </c>
      <c r="B930" s="112"/>
      <c r="C930" s="112"/>
      <c r="D930" s="112"/>
      <c r="E930" s="114"/>
    </row>
    <row r="931" spans="1:5" s="5" customFormat="1" ht="42.75" customHeight="1" x14ac:dyDescent="0.2">
      <c r="A931" s="21">
        <v>1</v>
      </c>
      <c r="B931" s="115" t="s">
        <v>1604</v>
      </c>
      <c r="C931" s="115"/>
      <c r="D931" s="26">
        <v>1964</v>
      </c>
      <c r="E931" s="32" t="s">
        <v>1298</v>
      </c>
    </row>
    <row r="932" spans="1:5" s="5" customFormat="1" ht="30.75" customHeight="1" x14ac:dyDescent="0.2">
      <c r="A932" s="21">
        <f>A931+1</f>
        <v>2</v>
      </c>
      <c r="B932" s="115" t="s">
        <v>1605</v>
      </c>
      <c r="C932" s="115"/>
      <c r="D932" s="26">
        <v>1363</v>
      </c>
      <c r="E932" s="32" t="s">
        <v>1298</v>
      </c>
    </row>
    <row r="933" spans="1:5" s="5" customFormat="1" ht="30" customHeight="1" x14ac:dyDescent="0.2">
      <c r="A933" s="21">
        <f t="shared" ref="A933:A972" si="9">A932+1</f>
        <v>3</v>
      </c>
      <c r="B933" s="115" t="s">
        <v>1606</v>
      </c>
      <c r="C933" s="115"/>
      <c r="D933" s="26">
        <v>980</v>
      </c>
      <c r="E933" s="32" t="s">
        <v>1298</v>
      </c>
    </row>
    <row r="934" spans="1:5" s="5" customFormat="1" ht="43.5" customHeight="1" x14ac:dyDescent="0.2">
      <c r="A934" s="21">
        <f t="shared" si="9"/>
        <v>4</v>
      </c>
      <c r="B934" s="115" t="s">
        <v>1742</v>
      </c>
      <c r="C934" s="115"/>
      <c r="D934" s="26">
        <v>1130</v>
      </c>
      <c r="E934" s="32" t="s">
        <v>1298</v>
      </c>
    </row>
    <row r="935" spans="1:5" s="5" customFormat="1" ht="42" customHeight="1" x14ac:dyDescent="0.2">
      <c r="A935" s="21">
        <f t="shared" si="9"/>
        <v>5</v>
      </c>
      <c r="B935" s="115" t="s">
        <v>1607</v>
      </c>
      <c r="C935" s="115"/>
      <c r="D935" s="26">
        <v>1343</v>
      </c>
      <c r="E935" s="28" t="s">
        <v>1334</v>
      </c>
    </row>
    <row r="936" spans="1:5" s="5" customFormat="1" ht="30" customHeight="1" x14ac:dyDescent="0.2">
      <c r="A936" s="21">
        <f t="shared" si="9"/>
        <v>6</v>
      </c>
      <c r="B936" s="115" t="s">
        <v>1608</v>
      </c>
      <c r="C936" s="115"/>
      <c r="D936" s="26">
        <v>301</v>
      </c>
      <c r="E936" s="32" t="s">
        <v>1298</v>
      </c>
    </row>
    <row r="937" spans="1:5" s="5" customFormat="1" ht="40.5" customHeight="1" x14ac:dyDescent="0.2">
      <c r="A937" s="21">
        <f t="shared" si="9"/>
        <v>7</v>
      </c>
      <c r="B937" s="174" t="s">
        <v>1731</v>
      </c>
      <c r="C937" s="175"/>
      <c r="D937" s="26">
        <v>902</v>
      </c>
      <c r="E937" s="32" t="s">
        <v>1298</v>
      </c>
    </row>
    <row r="938" spans="1:5" s="5" customFormat="1" ht="44.25" customHeight="1" x14ac:dyDescent="0.2">
      <c r="A938" s="21">
        <f t="shared" si="9"/>
        <v>8</v>
      </c>
      <c r="B938" s="115" t="s">
        <v>1609</v>
      </c>
      <c r="C938" s="115"/>
      <c r="D938" s="26">
        <v>1150</v>
      </c>
      <c r="E938" s="32" t="s">
        <v>1298</v>
      </c>
    </row>
    <row r="939" spans="1:5" s="5" customFormat="1" ht="29.25" customHeight="1" x14ac:dyDescent="0.2">
      <c r="A939" s="21">
        <f t="shared" si="9"/>
        <v>9</v>
      </c>
      <c r="B939" s="115" t="s">
        <v>1610</v>
      </c>
      <c r="C939" s="115"/>
      <c r="D939" s="26">
        <v>674</v>
      </c>
      <c r="E939" s="32" t="s">
        <v>1298</v>
      </c>
    </row>
    <row r="940" spans="1:5" s="5" customFormat="1" ht="31.5" customHeight="1" x14ac:dyDescent="0.2">
      <c r="A940" s="21">
        <f t="shared" si="9"/>
        <v>10</v>
      </c>
      <c r="B940" s="115" t="s">
        <v>1611</v>
      </c>
      <c r="C940" s="115"/>
      <c r="D940" s="26">
        <v>1358</v>
      </c>
      <c r="E940" s="32" t="s">
        <v>1258</v>
      </c>
    </row>
    <row r="941" spans="1:5" s="5" customFormat="1" ht="68.25" customHeight="1" x14ac:dyDescent="0.2">
      <c r="A941" s="21">
        <f t="shared" si="9"/>
        <v>11</v>
      </c>
      <c r="B941" s="115" t="s">
        <v>1612</v>
      </c>
      <c r="C941" s="115"/>
      <c r="D941" s="26">
        <v>2139</v>
      </c>
      <c r="E941" s="32" t="s">
        <v>1330</v>
      </c>
    </row>
    <row r="942" spans="1:5" s="5" customFormat="1" ht="30.75" customHeight="1" x14ac:dyDescent="0.2">
      <c r="A942" s="21">
        <f t="shared" si="9"/>
        <v>12</v>
      </c>
      <c r="B942" s="115" t="s">
        <v>1613</v>
      </c>
      <c r="C942" s="115"/>
      <c r="D942" s="26">
        <v>1436</v>
      </c>
      <c r="E942" s="32" t="s">
        <v>1258</v>
      </c>
    </row>
    <row r="943" spans="1:5" s="5" customFormat="1" ht="29.25" customHeight="1" x14ac:dyDescent="0.2">
      <c r="A943" s="21">
        <f t="shared" si="9"/>
        <v>13</v>
      </c>
      <c r="B943" s="115" t="s">
        <v>1614</v>
      </c>
      <c r="C943" s="115"/>
      <c r="D943" s="26">
        <v>1261</v>
      </c>
      <c r="E943" s="32" t="s">
        <v>1258</v>
      </c>
    </row>
    <row r="944" spans="1:5" s="5" customFormat="1" ht="93.75" customHeight="1" x14ac:dyDescent="0.2">
      <c r="A944" s="21">
        <v>15</v>
      </c>
      <c r="B944" s="115" t="s">
        <v>1615</v>
      </c>
      <c r="C944" s="115"/>
      <c r="D944" s="26">
        <v>7049</v>
      </c>
      <c r="E944" s="32" t="s">
        <v>1331</v>
      </c>
    </row>
    <row r="945" spans="1:5" s="5" customFormat="1" ht="30.75" customHeight="1" x14ac:dyDescent="0.2">
      <c r="A945" s="21">
        <f t="shared" si="9"/>
        <v>16</v>
      </c>
      <c r="B945" s="115" t="s">
        <v>1616</v>
      </c>
      <c r="C945" s="115"/>
      <c r="D945" s="26">
        <v>1009</v>
      </c>
      <c r="E945" s="32" t="s">
        <v>1258</v>
      </c>
    </row>
    <row r="946" spans="1:5" s="5" customFormat="1" ht="55.5" customHeight="1" x14ac:dyDescent="0.2">
      <c r="A946" s="21">
        <f t="shared" si="9"/>
        <v>17</v>
      </c>
      <c r="B946" s="131" t="s">
        <v>1617</v>
      </c>
      <c r="C946" s="132"/>
      <c r="D946" s="26">
        <v>1737</v>
      </c>
      <c r="E946" s="32" t="s">
        <v>1331</v>
      </c>
    </row>
    <row r="947" spans="1:5" s="5" customFormat="1" ht="66" customHeight="1" x14ac:dyDescent="0.2">
      <c r="A947" s="21">
        <f t="shared" si="9"/>
        <v>18</v>
      </c>
      <c r="B947" s="115" t="s">
        <v>1618</v>
      </c>
      <c r="C947" s="115"/>
      <c r="D947" s="26">
        <v>2529</v>
      </c>
      <c r="E947" s="32" t="s">
        <v>1331</v>
      </c>
    </row>
    <row r="948" spans="1:5" s="5" customFormat="1" ht="115.5" customHeight="1" x14ac:dyDescent="0.2">
      <c r="A948" s="21">
        <f t="shared" si="9"/>
        <v>19</v>
      </c>
      <c r="B948" s="115" t="s">
        <v>1619</v>
      </c>
      <c r="C948" s="115"/>
      <c r="D948" s="26">
        <v>6750</v>
      </c>
      <c r="E948" s="32" t="s">
        <v>1331</v>
      </c>
    </row>
    <row r="949" spans="1:5" s="5" customFormat="1" ht="55.5" customHeight="1" x14ac:dyDescent="0.2">
      <c r="A949" s="21">
        <f t="shared" si="9"/>
        <v>20</v>
      </c>
      <c r="B949" s="131" t="s">
        <v>1620</v>
      </c>
      <c r="C949" s="132"/>
      <c r="D949" s="26">
        <v>1404</v>
      </c>
      <c r="E949" s="32" t="s">
        <v>1331</v>
      </c>
    </row>
    <row r="950" spans="1:5" s="5" customFormat="1" ht="77.25" customHeight="1" x14ac:dyDescent="0.2">
      <c r="A950" s="21">
        <f t="shared" si="9"/>
        <v>21</v>
      </c>
      <c r="B950" s="115" t="s">
        <v>1621</v>
      </c>
      <c r="C950" s="115"/>
      <c r="D950" s="26">
        <v>2691</v>
      </c>
      <c r="E950" s="32" t="s">
        <v>1331</v>
      </c>
    </row>
    <row r="951" spans="1:5" s="5" customFormat="1" ht="114.75" customHeight="1" x14ac:dyDescent="0.2">
      <c r="A951" s="21">
        <f t="shared" si="9"/>
        <v>22</v>
      </c>
      <c r="B951" s="131" t="s">
        <v>1622</v>
      </c>
      <c r="C951" s="132"/>
      <c r="D951" s="26">
        <v>6484</v>
      </c>
      <c r="E951" s="32" t="s">
        <v>1331</v>
      </c>
    </row>
    <row r="952" spans="1:5" s="5" customFormat="1" ht="45.75" customHeight="1" x14ac:dyDescent="0.2">
      <c r="A952" s="21">
        <f t="shared" si="9"/>
        <v>23</v>
      </c>
      <c r="B952" s="116" t="s">
        <v>1623</v>
      </c>
      <c r="C952" s="116"/>
      <c r="D952" s="26">
        <v>1280</v>
      </c>
      <c r="E952" s="32" t="s">
        <v>1298</v>
      </c>
    </row>
    <row r="953" spans="1:5" s="5" customFormat="1" ht="51.75" customHeight="1" x14ac:dyDescent="0.2">
      <c r="A953" s="21">
        <f t="shared" si="9"/>
        <v>24</v>
      </c>
      <c r="B953" s="115" t="s">
        <v>1624</v>
      </c>
      <c r="C953" s="115"/>
      <c r="D953" s="26">
        <v>2163</v>
      </c>
      <c r="E953" s="32" t="s">
        <v>1298</v>
      </c>
    </row>
    <row r="954" spans="1:5" s="5" customFormat="1" ht="30" customHeight="1" x14ac:dyDescent="0.2">
      <c r="A954" s="21">
        <f t="shared" si="9"/>
        <v>25</v>
      </c>
      <c r="B954" s="115" t="s">
        <v>1625</v>
      </c>
      <c r="C954" s="115"/>
      <c r="D954" s="26">
        <v>805</v>
      </c>
      <c r="E954" s="32" t="s">
        <v>1332</v>
      </c>
    </row>
    <row r="955" spans="1:5" s="5" customFormat="1" ht="42" customHeight="1" x14ac:dyDescent="0.2">
      <c r="A955" s="21">
        <f t="shared" si="9"/>
        <v>26</v>
      </c>
      <c r="B955" s="115" t="s">
        <v>1626</v>
      </c>
      <c r="C955" s="115"/>
      <c r="D955" s="26">
        <v>1368</v>
      </c>
      <c r="E955" s="32" t="s">
        <v>1298</v>
      </c>
    </row>
    <row r="956" spans="1:5" s="15" customFormat="1" ht="55.5" customHeight="1" x14ac:dyDescent="0.2">
      <c r="A956" s="21">
        <f t="shared" si="9"/>
        <v>27</v>
      </c>
      <c r="B956" s="117" t="s">
        <v>1685</v>
      </c>
      <c r="C956" s="118"/>
      <c r="D956" s="26">
        <v>3589</v>
      </c>
      <c r="E956" s="32" t="s">
        <v>1298</v>
      </c>
    </row>
    <row r="957" spans="1:5" s="5" customFormat="1" ht="51.75" customHeight="1" x14ac:dyDescent="0.2">
      <c r="A957" s="21">
        <f t="shared" si="9"/>
        <v>28</v>
      </c>
      <c r="B957" s="115" t="s">
        <v>1627</v>
      </c>
      <c r="C957" s="115"/>
      <c r="D957" s="26">
        <v>1906</v>
      </c>
      <c r="E957" s="32" t="s">
        <v>1331</v>
      </c>
    </row>
    <row r="958" spans="1:5" s="5" customFormat="1" ht="57.75" customHeight="1" x14ac:dyDescent="0.2">
      <c r="A958" s="21">
        <f t="shared" si="9"/>
        <v>29</v>
      </c>
      <c r="B958" s="115" t="s">
        <v>1628</v>
      </c>
      <c r="C958" s="115"/>
      <c r="D958" s="26">
        <v>1659</v>
      </c>
      <c r="E958" s="32" t="s">
        <v>1333</v>
      </c>
    </row>
    <row r="959" spans="1:5" s="5" customFormat="1" ht="31.5" customHeight="1" x14ac:dyDescent="0.2">
      <c r="A959" s="21">
        <f t="shared" si="9"/>
        <v>30</v>
      </c>
      <c r="B959" s="115" t="s">
        <v>1629</v>
      </c>
      <c r="C959" s="115"/>
      <c r="D959" s="26">
        <v>698</v>
      </c>
      <c r="E959" s="32" t="s">
        <v>1330</v>
      </c>
    </row>
    <row r="960" spans="1:5" s="5" customFormat="1" ht="51" customHeight="1" x14ac:dyDescent="0.2">
      <c r="A960" s="21">
        <f t="shared" si="9"/>
        <v>31</v>
      </c>
      <c r="B960" s="115" t="s">
        <v>1630</v>
      </c>
      <c r="C960" s="115"/>
      <c r="D960" s="26">
        <v>2284</v>
      </c>
      <c r="E960" s="32" t="s">
        <v>1331</v>
      </c>
    </row>
    <row r="961" spans="1:5" s="5" customFormat="1" ht="50.25" customHeight="1" x14ac:dyDescent="0.2">
      <c r="A961" s="21">
        <f t="shared" si="9"/>
        <v>32</v>
      </c>
      <c r="B961" s="115" t="s">
        <v>1631</v>
      </c>
      <c r="C961" s="115"/>
      <c r="D961" s="26">
        <v>1096</v>
      </c>
      <c r="E961" s="32" t="s">
        <v>1333</v>
      </c>
    </row>
    <row r="962" spans="1:5" s="5" customFormat="1" ht="93.75" customHeight="1" x14ac:dyDescent="0.2">
      <c r="A962" s="21">
        <f t="shared" si="9"/>
        <v>33</v>
      </c>
      <c r="B962" s="115" t="s">
        <v>1632</v>
      </c>
      <c r="C962" s="115"/>
      <c r="D962" s="26">
        <v>3143</v>
      </c>
      <c r="E962" s="32" t="s">
        <v>1333</v>
      </c>
    </row>
    <row r="963" spans="1:5" s="5" customFormat="1" ht="67.5" customHeight="1" x14ac:dyDescent="0.2">
      <c r="A963" s="21">
        <f t="shared" si="9"/>
        <v>34</v>
      </c>
      <c r="B963" s="115" t="s">
        <v>1633</v>
      </c>
      <c r="C963" s="115"/>
      <c r="D963" s="26">
        <v>2270</v>
      </c>
      <c r="E963" s="32" t="s">
        <v>1333</v>
      </c>
    </row>
    <row r="964" spans="1:5" s="5" customFormat="1" ht="60.75" customHeight="1" x14ac:dyDescent="0.2">
      <c r="A964" s="21">
        <f t="shared" si="9"/>
        <v>35</v>
      </c>
      <c r="B964" s="115" t="s">
        <v>1634</v>
      </c>
      <c r="C964" s="115"/>
      <c r="D964" s="26">
        <v>2299</v>
      </c>
      <c r="E964" s="32" t="s">
        <v>1298</v>
      </c>
    </row>
    <row r="965" spans="1:5" s="5" customFormat="1" ht="39" customHeight="1" x14ac:dyDescent="0.2">
      <c r="A965" s="21">
        <f t="shared" si="9"/>
        <v>36</v>
      </c>
      <c r="B965" s="115" t="s">
        <v>1635</v>
      </c>
      <c r="C965" s="115"/>
      <c r="D965" s="26">
        <v>2299</v>
      </c>
      <c r="E965" s="32" t="s">
        <v>1298</v>
      </c>
    </row>
    <row r="966" spans="1:5" s="5" customFormat="1" ht="30" customHeight="1" x14ac:dyDescent="0.2">
      <c r="A966" s="21">
        <f t="shared" si="9"/>
        <v>37</v>
      </c>
      <c r="B966" s="115" t="s">
        <v>1636</v>
      </c>
      <c r="C966" s="115"/>
      <c r="D966" s="26">
        <v>563</v>
      </c>
      <c r="E966" s="32" t="s">
        <v>1298</v>
      </c>
    </row>
    <row r="967" spans="1:5" s="5" customFormat="1" ht="40.5" customHeight="1" x14ac:dyDescent="0.2">
      <c r="A967" s="21">
        <f t="shared" si="9"/>
        <v>38</v>
      </c>
      <c r="B967" s="115" t="s">
        <v>1637</v>
      </c>
      <c r="C967" s="115"/>
      <c r="D967" s="26">
        <v>1407</v>
      </c>
      <c r="E967" s="32" t="s">
        <v>1331</v>
      </c>
    </row>
    <row r="968" spans="1:5" s="5" customFormat="1" ht="59.25" customHeight="1" x14ac:dyDescent="0.2">
      <c r="A968" s="21">
        <f t="shared" si="9"/>
        <v>39</v>
      </c>
      <c r="B968" s="115" t="s">
        <v>1638</v>
      </c>
      <c r="C968" s="115"/>
      <c r="D968" s="26">
        <v>5859</v>
      </c>
      <c r="E968" s="32" t="s">
        <v>1333</v>
      </c>
    </row>
    <row r="969" spans="1:5" s="5" customFormat="1" ht="31.5" customHeight="1" x14ac:dyDescent="0.2">
      <c r="A969" s="21">
        <f t="shared" si="9"/>
        <v>40</v>
      </c>
      <c r="B969" s="116" t="s">
        <v>1639</v>
      </c>
      <c r="C969" s="116"/>
      <c r="D969" s="26">
        <v>2037</v>
      </c>
      <c r="E969" s="32" t="s">
        <v>1333</v>
      </c>
    </row>
    <row r="970" spans="1:5" s="5" customFormat="1" ht="52.5" customHeight="1" x14ac:dyDescent="0.2">
      <c r="A970" s="21">
        <f t="shared" si="9"/>
        <v>41</v>
      </c>
      <c r="B970" s="115" t="s">
        <v>1640</v>
      </c>
      <c r="C970" s="115"/>
      <c r="D970" s="26">
        <v>2300</v>
      </c>
      <c r="E970" s="32" t="s">
        <v>1334</v>
      </c>
    </row>
    <row r="971" spans="1:5" s="5" customFormat="1" ht="41.25" customHeight="1" x14ac:dyDescent="0.2">
      <c r="A971" s="21">
        <v>43</v>
      </c>
      <c r="B971" s="115" t="s">
        <v>1641</v>
      </c>
      <c r="C971" s="115"/>
      <c r="D971" s="26">
        <v>1406</v>
      </c>
      <c r="E971" s="32" t="s">
        <v>1298</v>
      </c>
    </row>
    <row r="972" spans="1:5" s="5" customFormat="1" ht="39" customHeight="1" x14ac:dyDescent="0.2">
      <c r="A972" s="21">
        <f t="shared" si="9"/>
        <v>44</v>
      </c>
      <c r="B972" s="115" t="s">
        <v>1642</v>
      </c>
      <c r="C972" s="115"/>
      <c r="D972" s="26">
        <v>2100</v>
      </c>
      <c r="E972" s="32" t="s">
        <v>1298</v>
      </c>
    </row>
    <row r="973" spans="1:5" s="5" customFormat="1" ht="42" customHeight="1" x14ac:dyDescent="0.2">
      <c r="A973" s="21">
        <v>51</v>
      </c>
      <c r="B973" s="109" t="s">
        <v>1752</v>
      </c>
      <c r="C973" s="110"/>
      <c r="D973" s="28">
        <v>750</v>
      </c>
      <c r="E973" s="32" t="s">
        <v>1335</v>
      </c>
    </row>
    <row r="974" spans="1:5" s="5" customFormat="1" ht="54" customHeight="1" x14ac:dyDescent="0.2">
      <c r="A974" s="21">
        <v>52</v>
      </c>
      <c r="B974" s="109" t="s">
        <v>1753</v>
      </c>
      <c r="C974" s="110"/>
      <c r="D974" s="28">
        <v>2300</v>
      </c>
      <c r="E974" s="32" t="s">
        <v>1335</v>
      </c>
    </row>
    <row r="975" spans="1:5" s="5" customFormat="1" ht="27.75" customHeight="1" x14ac:dyDescent="0.2">
      <c r="A975" s="21">
        <v>53</v>
      </c>
      <c r="B975" s="111" t="s">
        <v>1643</v>
      </c>
      <c r="C975" s="111"/>
      <c r="D975" s="28">
        <v>4964</v>
      </c>
      <c r="E975" s="46" t="s">
        <v>1334</v>
      </c>
    </row>
    <row r="976" spans="1:5" s="5" customFormat="1" ht="44.25" customHeight="1" x14ac:dyDescent="0.2">
      <c r="A976" s="51">
        <v>54</v>
      </c>
      <c r="B976" s="103" t="s">
        <v>1732</v>
      </c>
      <c r="C976" s="104"/>
      <c r="D976" s="47">
        <v>1324</v>
      </c>
      <c r="E976" s="48" t="s">
        <v>1330</v>
      </c>
    </row>
    <row r="977" spans="1:5" s="5" customFormat="1" ht="75.75" customHeight="1" x14ac:dyDescent="0.2">
      <c r="A977" s="81">
        <v>55</v>
      </c>
      <c r="B977" s="101" t="s">
        <v>1779</v>
      </c>
      <c r="C977" s="102"/>
      <c r="D977" s="82">
        <v>3843</v>
      </c>
      <c r="E977" s="82" t="s">
        <v>1331</v>
      </c>
    </row>
    <row r="978" spans="1:5" s="5" customFormat="1" ht="99.75" customHeight="1" x14ac:dyDescent="0.2">
      <c r="A978" s="81">
        <v>56</v>
      </c>
      <c r="B978" s="101" t="s">
        <v>1801</v>
      </c>
      <c r="C978" s="102"/>
      <c r="D978" s="82">
        <v>6066</v>
      </c>
      <c r="E978" s="82" t="s">
        <v>1331</v>
      </c>
    </row>
    <row r="979" spans="1:5" s="5" customFormat="1" ht="39" customHeight="1" x14ac:dyDescent="0.2">
      <c r="A979" s="31"/>
      <c r="B979" s="55" t="s">
        <v>1031</v>
      </c>
      <c r="C979" s="173" t="s">
        <v>1079</v>
      </c>
      <c r="D979" s="173"/>
      <c r="E979" s="173"/>
    </row>
    <row r="980" spans="1:5" s="5" customFormat="1" ht="22.5" customHeight="1" x14ac:dyDescent="0.2">
      <c r="A980" s="31"/>
      <c r="B980" s="55" t="s">
        <v>1032</v>
      </c>
      <c r="C980" s="172" t="s">
        <v>1032</v>
      </c>
      <c r="D980" s="172"/>
      <c r="E980" s="172"/>
    </row>
    <row r="981" spans="1:5" s="5" customFormat="1" ht="21.75" customHeight="1" x14ac:dyDescent="0.2">
      <c r="A981" s="31"/>
      <c r="B981" s="55" t="s">
        <v>1716</v>
      </c>
      <c r="C981" s="105"/>
      <c r="D981" s="106"/>
      <c r="E981" s="106"/>
    </row>
    <row r="982" spans="1:5" s="5" customFormat="1" ht="30" customHeight="1" x14ac:dyDescent="0.2">
      <c r="A982" s="31"/>
      <c r="B982" s="55"/>
      <c r="C982" s="64"/>
      <c r="D982" s="61"/>
      <c r="E982" s="10"/>
    </row>
    <row r="983" spans="1:5" s="5" customFormat="1" ht="40.25" customHeight="1" x14ac:dyDescent="0.2">
      <c r="A983" s="31"/>
      <c r="B983" s="55"/>
      <c r="C983" s="64"/>
      <c r="D983" s="61"/>
      <c r="E983" s="10"/>
    </row>
    <row r="984" spans="1:5" s="5" customFormat="1" ht="60" customHeight="1" x14ac:dyDescent="0.2">
      <c r="A984" s="31"/>
      <c r="B984" s="55"/>
      <c r="C984" s="64"/>
      <c r="D984" s="61"/>
      <c r="E984" s="10"/>
    </row>
    <row r="985" spans="1:5" s="5" customFormat="1" ht="30" customHeight="1" x14ac:dyDescent="0.2">
      <c r="A985" s="31"/>
      <c r="B985" s="55"/>
      <c r="C985" s="64"/>
      <c r="D985" s="61"/>
      <c r="E985" s="10"/>
    </row>
    <row r="986" spans="1:5" s="5" customFormat="1" ht="50" customHeight="1" x14ac:dyDescent="0.2">
      <c r="A986" s="31"/>
      <c r="B986" s="55"/>
      <c r="C986" s="64"/>
      <c r="D986" s="61"/>
      <c r="E986" s="10"/>
    </row>
    <row r="987" spans="1:5" s="5" customFormat="1" ht="40.25" customHeight="1" x14ac:dyDescent="0.2">
      <c r="A987" s="31"/>
      <c r="B987" s="55"/>
      <c r="C987" s="64"/>
      <c r="D987" s="61"/>
      <c r="E987" s="10"/>
    </row>
    <row r="988" spans="1:5" s="5" customFormat="1" ht="40.25" customHeight="1" x14ac:dyDescent="0.2">
      <c r="A988" s="31"/>
      <c r="B988" s="55"/>
      <c r="C988" s="64"/>
      <c r="D988" s="61"/>
      <c r="E988" s="10"/>
    </row>
    <row r="989" spans="1:5" s="5" customFormat="1" ht="65.25" customHeight="1" x14ac:dyDescent="0.2">
      <c r="A989" s="31"/>
      <c r="B989" s="55"/>
      <c r="C989" s="64"/>
      <c r="D989" s="61"/>
      <c r="E989" s="10"/>
    </row>
    <row r="990" spans="1:5" s="5" customFormat="1" ht="84.75" customHeight="1" x14ac:dyDescent="0.2">
      <c r="A990" s="31"/>
      <c r="B990" s="55"/>
      <c r="C990" s="64"/>
      <c r="D990" s="61"/>
      <c r="E990" s="10"/>
    </row>
    <row r="991" spans="1:5" s="5" customFormat="1" ht="42.5" customHeight="1" x14ac:dyDescent="0.2">
      <c r="A991" s="31"/>
      <c r="B991" s="55"/>
      <c r="C991" s="64"/>
      <c r="D991" s="61"/>
      <c r="E991" s="10"/>
    </row>
    <row r="992" spans="1:5" s="5" customFormat="1" ht="59.25" customHeight="1" x14ac:dyDescent="0.2">
      <c r="A992" s="31"/>
      <c r="B992" s="55"/>
      <c r="C992" s="64"/>
      <c r="D992" s="61"/>
      <c r="E992" s="10"/>
    </row>
    <row r="993" spans="1:5" s="5" customFormat="1" ht="15" customHeight="1" x14ac:dyDescent="0.2">
      <c r="A993" s="31"/>
      <c r="B993" s="55"/>
      <c r="C993" s="64"/>
      <c r="D993" s="61"/>
      <c r="E993" s="10"/>
    </row>
    <row r="994" spans="1:5" s="5" customFormat="1" ht="30" customHeight="1" x14ac:dyDescent="0.2">
      <c r="A994" s="31"/>
      <c r="B994" s="55"/>
      <c r="C994" s="64"/>
      <c r="D994" s="61"/>
      <c r="E994" s="10"/>
    </row>
    <row r="995" spans="1:5" s="5" customFormat="1" ht="15" customHeight="1" x14ac:dyDescent="0.2">
      <c r="A995" s="31"/>
      <c r="B995" s="55"/>
      <c r="C995" s="64"/>
      <c r="D995" s="61"/>
      <c r="E995" s="10"/>
    </row>
    <row r="996" spans="1:5" s="5" customFormat="1" ht="39" customHeight="1" x14ac:dyDescent="0.2">
      <c r="A996" s="31"/>
      <c r="B996" s="55"/>
      <c r="C996" s="64"/>
      <c r="D996" s="61"/>
      <c r="E996" s="10"/>
    </row>
    <row r="997" spans="1:5" s="5" customFormat="1" ht="50.25" customHeight="1" x14ac:dyDescent="0.2">
      <c r="A997" s="31"/>
      <c r="B997" s="55"/>
      <c r="C997" s="64"/>
      <c r="D997" s="61"/>
      <c r="E997" s="10"/>
    </row>
    <row r="998" spans="1:5" s="5" customFormat="1" ht="33.75" customHeight="1" x14ac:dyDescent="0.2">
      <c r="A998" s="31"/>
      <c r="B998" s="55"/>
      <c r="C998" s="64"/>
      <c r="D998" s="61"/>
      <c r="E998" s="10"/>
    </row>
    <row r="999" spans="1:5" s="5" customFormat="1" ht="49.5" customHeight="1" x14ac:dyDescent="0.2">
      <c r="A999" s="31"/>
      <c r="B999" s="55"/>
      <c r="C999" s="64"/>
      <c r="D999" s="61"/>
      <c r="E999" s="10"/>
    </row>
    <row r="1000" spans="1:5" s="5" customFormat="1" ht="39.75" customHeight="1" x14ac:dyDescent="0.2">
      <c r="A1000" s="31"/>
      <c r="B1000" s="55"/>
      <c r="C1000" s="64"/>
      <c r="D1000" s="61"/>
      <c r="E1000" s="10"/>
    </row>
    <row r="1001" spans="1:5" s="5" customFormat="1" ht="39" customHeight="1" x14ac:dyDescent="0.2">
      <c r="A1001" s="31"/>
      <c r="B1001" s="55"/>
      <c r="C1001" s="64"/>
      <c r="D1001" s="61"/>
      <c r="E1001" s="10"/>
    </row>
    <row r="1002" spans="1:5" s="5" customFormat="1" ht="51.75" customHeight="1" x14ac:dyDescent="0.2">
      <c r="A1002" s="31"/>
      <c r="B1002" s="55"/>
      <c r="C1002" s="64"/>
      <c r="D1002" s="61"/>
      <c r="E1002" s="10"/>
    </row>
    <row r="1003" spans="1:5" s="5" customFormat="1" ht="62.25" customHeight="1" x14ac:dyDescent="0.2">
      <c r="A1003" s="31"/>
      <c r="B1003" s="55"/>
      <c r="C1003" s="64"/>
      <c r="D1003" s="61"/>
      <c r="E1003" s="10"/>
    </row>
    <row r="1004" spans="1:5" s="5" customFormat="1" ht="38" customHeight="1" x14ac:dyDescent="0.2">
      <c r="A1004" s="31"/>
      <c r="B1004" s="55"/>
      <c r="C1004" s="64"/>
      <c r="D1004" s="61"/>
      <c r="E1004" s="10"/>
    </row>
    <row r="1005" spans="1:5" s="5" customFormat="1" ht="14.5" customHeight="1" x14ac:dyDescent="0.2">
      <c r="A1005" s="31"/>
      <c r="B1005" s="55"/>
      <c r="C1005" s="64"/>
      <c r="D1005" s="61"/>
      <c r="E1005" s="10"/>
    </row>
    <row r="1006" spans="1:5" s="5" customFormat="1" ht="21.75" customHeight="1" x14ac:dyDescent="0.2">
      <c r="A1006" s="31"/>
      <c r="B1006" s="55"/>
      <c r="C1006" s="64"/>
      <c r="D1006" s="61"/>
      <c r="E1006" s="10"/>
    </row>
    <row r="1007" spans="1:5" s="5" customFormat="1" ht="26" customHeight="1" x14ac:dyDescent="0.2">
      <c r="A1007" s="31"/>
      <c r="B1007" s="55"/>
      <c r="C1007" s="64"/>
      <c r="D1007" s="61"/>
      <c r="E1007" s="10"/>
    </row>
    <row r="1008" spans="1:5" ht="14.5" customHeight="1" x14ac:dyDescent="0.2"/>
    <row r="1009" ht="14.5" customHeight="1" x14ac:dyDescent="0.2"/>
    <row r="1010" ht="14.5" customHeight="1" x14ac:dyDescent="0.2"/>
    <row r="1011" ht="14.5" customHeight="1" x14ac:dyDescent="0.2"/>
    <row r="1012" ht="14.5" customHeight="1" x14ac:dyDescent="0.2"/>
    <row r="1013" ht="14.5" customHeight="1" x14ac:dyDescent="0.2"/>
    <row r="1014" ht="14.5" customHeight="1" x14ac:dyDescent="0.2"/>
    <row r="1015" ht="14.5" customHeight="1" x14ac:dyDescent="0.2"/>
    <row r="1016" ht="14.5" customHeight="1" x14ac:dyDescent="0.2"/>
    <row r="1017" ht="14.5" customHeight="1" x14ac:dyDescent="0.2"/>
    <row r="1018" ht="14.5" customHeight="1" x14ac:dyDescent="0.2"/>
    <row r="1019" ht="14.5" customHeight="1" x14ac:dyDescent="0.2"/>
    <row r="1020" ht="14.5" customHeight="1" x14ac:dyDescent="0.2"/>
    <row r="1021" ht="14.5" customHeight="1" x14ac:dyDescent="0.2"/>
    <row r="1022" ht="14.5" customHeight="1" x14ac:dyDescent="0.2"/>
    <row r="1023" ht="14.5" customHeight="1" x14ac:dyDescent="0.2"/>
    <row r="1024" ht="14.5" customHeight="1" x14ac:dyDescent="0.2"/>
  </sheetData>
  <mergeCells count="420">
    <mergeCell ref="B744:C744"/>
    <mergeCell ref="A745:E745"/>
    <mergeCell ref="B746:C746"/>
    <mergeCell ref="B747:C747"/>
    <mergeCell ref="A748:E748"/>
    <mergeCell ref="B756:C756"/>
    <mergeCell ref="B757:C757"/>
    <mergeCell ref="A758:E758"/>
    <mergeCell ref="A734:E734"/>
    <mergeCell ref="B735:C735"/>
    <mergeCell ref="A736:E736"/>
    <mergeCell ref="B739:C739"/>
    <mergeCell ref="A740:E740"/>
    <mergeCell ref="B737:C737"/>
    <mergeCell ref="B741:C741"/>
    <mergeCell ref="B742:C742"/>
    <mergeCell ref="B743:C743"/>
    <mergeCell ref="B897:C897"/>
    <mergeCell ref="B865:C865"/>
    <mergeCell ref="B905:C905"/>
    <mergeCell ref="B906:C906"/>
    <mergeCell ref="B901:C901"/>
    <mergeCell ref="A887:E887"/>
    <mergeCell ref="A864:E864"/>
    <mergeCell ref="B874:C874"/>
    <mergeCell ref="B873:C873"/>
    <mergeCell ref="B870:C870"/>
    <mergeCell ref="B886:C886"/>
    <mergeCell ref="B890:C890"/>
    <mergeCell ref="B878:C878"/>
    <mergeCell ref="B884:C884"/>
    <mergeCell ref="B892:C892"/>
    <mergeCell ref="B880:C880"/>
    <mergeCell ref="A881:E881"/>
    <mergeCell ref="B889:C889"/>
    <mergeCell ref="B894:C894"/>
    <mergeCell ref="B891:C891"/>
    <mergeCell ref="B893:C893"/>
    <mergeCell ref="B963:C963"/>
    <mergeCell ref="B935:C935"/>
    <mergeCell ref="B936:C936"/>
    <mergeCell ref="B937:C937"/>
    <mergeCell ref="B938:C938"/>
    <mergeCell ref="B866:C866"/>
    <mergeCell ref="B888:C888"/>
    <mergeCell ref="B943:C943"/>
    <mergeCell ref="B944:C944"/>
    <mergeCell ref="B945:C945"/>
    <mergeCell ref="B946:C946"/>
    <mergeCell ref="B947:C947"/>
    <mergeCell ref="B948:C948"/>
    <mergeCell ref="B919:C919"/>
    <mergeCell ref="B900:C900"/>
    <mergeCell ref="B882:C882"/>
    <mergeCell ref="B869:C869"/>
    <mergeCell ref="A871:E871"/>
    <mergeCell ref="B896:C896"/>
    <mergeCell ref="B867:C867"/>
    <mergeCell ref="B959:C959"/>
    <mergeCell ref="B960:C960"/>
    <mergeCell ref="B961:C961"/>
    <mergeCell ref="B962:C962"/>
    <mergeCell ref="B964:C964"/>
    <mergeCell ref="B917:C917"/>
    <mergeCell ref="B898:C898"/>
    <mergeCell ref="B922:C922"/>
    <mergeCell ref="B924:C924"/>
    <mergeCell ref="B954:C954"/>
    <mergeCell ref="B955:C955"/>
    <mergeCell ref="B928:C928"/>
    <mergeCell ref="B939:C939"/>
    <mergeCell ref="B923:C923"/>
    <mergeCell ref="B907:C907"/>
    <mergeCell ref="B910:C910"/>
    <mergeCell ref="A927:E927"/>
    <mergeCell ref="B921:C921"/>
    <mergeCell ref="A918:E918"/>
    <mergeCell ref="B920:C920"/>
    <mergeCell ref="B909:C909"/>
    <mergeCell ref="B903:C903"/>
    <mergeCell ref="B926:C926"/>
    <mergeCell ref="D929:D930"/>
    <mergeCell ref="B931:C931"/>
    <mergeCell ref="B932:C932"/>
    <mergeCell ref="B933:C933"/>
    <mergeCell ref="B934:C934"/>
    <mergeCell ref="C980:E980"/>
    <mergeCell ref="B868:C868"/>
    <mergeCell ref="B679:C679"/>
    <mergeCell ref="A849:E849"/>
    <mergeCell ref="B860:C860"/>
    <mergeCell ref="B949:C949"/>
    <mergeCell ref="B861:C861"/>
    <mergeCell ref="B883:C883"/>
    <mergeCell ref="B913:C913"/>
    <mergeCell ref="B914:C914"/>
    <mergeCell ref="B915:C915"/>
    <mergeCell ref="A899:E899"/>
    <mergeCell ref="B862:C862"/>
    <mergeCell ref="C979:E979"/>
    <mergeCell ref="B950:C950"/>
    <mergeCell ref="B951:C951"/>
    <mergeCell ref="B952:C952"/>
    <mergeCell ref="B953:C953"/>
    <mergeCell ref="A721:E721"/>
    <mergeCell ref="B722:C722"/>
    <mergeCell ref="A723:E723"/>
    <mergeCell ref="A712:E712"/>
    <mergeCell ref="A714:E714"/>
    <mergeCell ref="B715:C715"/>
    <mergeCell ref="B706:C706"/>
    <mergeCell ref="B713:C713"/>
    <mergeCell ref="B709:C709"/>
    <mergeCell ref="A711:E711"/>
    <mergeCell ref="B707:C707"/>
    <mergeCell ref="B708:C708"/>
    <mergeCell ref="B738:C738"/>
    <mergeCell ref="B730:C730"/>
    <mergeCell ref="B731:C731"/>
    <mergeCell ref="B724:C724"/>
    <mergeCell ref="B725:C725"/>
    <mergeCell ref="B710:C710"/>
    <mergeCell ref="A726:E726"/>
    <mergeCell ref="B727:C727"/>
    <mergeCell ref="A728:E728"/>
    <mergeCell ref="B729:C729"/>
    <mergeCell ref="B716:C716"/>
    <mergeCell ref="A717:E717"/>
    <mergeCell ref="B718:C718"/>
    <mergeCell ref="A719:E719"/>
    <mergeCell ref="B720:C720"/>
    <mergeCell ref="A732:E732"/>
    <mergeCell ref="B733:C733"/>
    <mergeCell ref="A5:E5"/>
    <mergeCell ref="B705:C705"/>
    <mergeCell ref="B691:C691"/>
    <mergeCell ref="B704:C704"/>
    <mergeCell ref="B703:C703"/>
    <mergeCell ref="B702:C702"/>
    <mergeCell ref="B700:C700"/>
    <mergeCell ref="B695:C695"/>
    <mergeCell ref="B697:C697"/>
    <mergeCell ref="B701:C701"/>
    <mergeCell ref="B699:C699"/>
    <mergeCell ref="B696:C696"/>
    <mergeCell ref="B694:C694"/>
    <mergeCell ref="B698:C698"/>
    <mergeCell ref="B693:C693"/>
    <mergeCell ref="A150:E150"/>
    <mergeCell ref="A170:E170"/>
    <mergeCell ref="A428:E428"/>
    <mergeCell ref="A115:E115"/>
    <mergeCell ref="A151:E151"/>
    <mergeCell ref="A117:E117"/>
    <mergeCell ref="A14:E14"/>
    <mergeCell ref="A139:E139"/>
    <mergeCell ref="A62:E62"/>
    <mergeCell ref="A3:E3"/>
    <mergeCell ref="B665:C665"/>
    <mergeCell ref="B669:C669"/>
    <mergeCell ref="A294:E294"/>
    <mergeCell ref="A300:E300"/>
    <mergeCell ref="A316:E316"/>
    <mergeCell ref="A426:E426"/>
    <mergeCell ref="A499:E499"/>
    <mergeCell ref="A502:E502"/>
    <mergeCell ref="A514:E514"/>
    <mergeCell ref="A463:E463"/>
    <mergeCell ref="A471:E471"/>
    <mergeCell ref="A486:E486"/>
    <mergeCell ref="A477:E477"/>
    <mergeCell ref="A288:E288"/>
    <mergeCell ref="A405:E405"/>
    <mergeCell ref="A531:E531"/>
    <mergeCell ref="A523:E523"/>
    <mergeCell ref="A572:E572"/>
    <mergeCell ref="A51:E51"/>
    <mergeCell ref="A33:E33"/>
    <mergeCell ref="A73:E73"/>
    <mergeCell ref="A20:E20"/>
    <mergeCell ref="A32:E32"/>
    <mergeCell ref="A119:E119"/>
    <mergeCell ref="A82:E82"/>
    <mergeCell ref="A86:E86"/>
    <mergeCell ref="A603:E603"/>
    <mergeCell ref="A541:E541"/>
    <mergeCell ref="A203:E203"/>
    <mergeCell ref="A449:E449"/>
    <mergeCell ref="A490:E490"/>
    <mergeCell ref="A285:E285"/>
    <mergeCell ref="A407:E407"/>
    <mergeCell ref="A388:E388"/>
    <mergeCell ref="A403:E403"/>
    <mergeCell ref="A423:E423"/>
    <mergeCell ref="A297:E297"/>
    <mergeCell ref="A445:E445"/>
    <mergeCell ref="A456:E456"/>
    <mergeCell ref="A351:E351"/>
    <mergeCell ref="A354:E354"/>
    <mergeCell ref="A524:E524"/>
    <mergeCell ref="A505:E505"/>
    <mergeCell ref="A512:E512"/>
    <mergeCell ref="A483:E483"/>
    <mergeCell ref="A474:E474"/>
    <mergeCell ref="A479:E479"/>
    <mergeCell ref="A416:E416"/>
    <mergeCell ref="A546:E546"/>
    <mergeCell ref="A537:E537"/>
    <mergeCell ref="A634:E634"/>
    <mergeCell ref="A683:E683"/>
    <mergeCell ref="A606:E606"/>
    <mergeCell ref="B674:C674"/>
    <mergeCell ref="B667:C667"/>
    <mergeCell ref="B668:C668"/>
    <mergeCell ref="A677:E677"/>
    <mergeCell ref="A620:E620"/>
    <mergeCell ref="B673:C673"/>
    <mergeCell ref="B671:C671"/>
    <mergeCell ref="A672:E672"/>
    <mergeCell ref="A675:E675"/>
    <mergeCell ref="B676:C676"/>
    <mergeCell ref="A551:E551"/>
    <mergeCell ref="A574:E574"/>
    <mergeCell ref="A442:E442"/>
    <mergeCell ref="A688:E688"/>
    <mergeCell ref="B689:C689"/>
    <mergeCell ref="B690:C690"/>
    <mergeCell ref="B692:C692"/>
    <mergeCell ref="A553:E553"/>
    <mergeCell ref="A543:E543"/>
    <mergeCell ref="B670:C670"/>
    <mergeCell ref="A624:E624"/>
    <mergeCell ref="A637:E637"/>
    <mergeCell ref="A628:E628"/>
    <mergeCell ref="A657:E657"/>
    <mergeCell ref="A664:E664"/>
    <mergeCell ref="A590:E590"/>
    <mergeCell ref="A684:E684"/>
    <mergeCell ref="B685:C685"/>
    <mergeCell ref="B686:C686"/>
    <mergeCell ref="B687:C687"/>
    <mergeCell ref="A680:E680"/>
    <mergeCell ref="B666:C666"/>
    <mergeCell ref="A605:E605"/>
    <mergeCell ref="A578:E578"/>
    <mergeCell ref="A564:E564"/>
    <mergeCell ref="A562:E562"/>
    <mergeCell ref="A608:E608"/>
    <mergeCell ref="A105:E105"/>
    <mergeCell ref="A584:E584"/>
    <mergeCell ref="A181:E181"/>
    <mergeCell ref="A190:E190"/>
    <mergeCell ref="A357:E357"/>
    <mergeCell ref="A199:E199"/>
    <mergeCell ref="A201:E201"/>
    <mergeCell ref="A412:E412"/>
    <mergeCell ref="A415:E415"/>
    <mergeCell ref="A366:E366"/>
    <mergeCell ref="A417:E417"/>
    <mergeCell ref="A205:E205"/>
    <mergeCell ref="A468:E468"/>
    <mergeCell ref="A492:E492"/>
    <mergeCell ref="A140:E140"/>
    <mergeCell ref="A186:E186"/>
    <mergeCell ref="A399:E399"/>
    <mergeCell ref="A156:E156"/>
    <mergeCell ref="A358:E358"/>
    <mergeCell ref="A277:E277"/>
    <mergeCell ref="A271:E271"/>
    <mergeCell ref="A166:E166"/>
    <mergeCell ref="A535:E535"/>
    <mergeCell ref="A539:E539"/>
    <mergeCell ref="B761:C761"/>
    <mergeCell ref="B762:C762"/>
    <mergeCell ref="B749:C749"/>
    <mergeCell ref="A750:E750"/>
    <mergeCell ref="B751:C751"/>
    <mergeCell ref="A753:E753"/>
    <mergeCell ref="B754:C754"/>
    <mergeCell ref="A755:E755"/>
    <mergeCell ref="B752:C752"/>
    <mergeCell ref="B759:C759"/>
    <mergeCell ref="A760:E760"/>
    <mergeCell ref="A765:E765"/>
    <mergeCell ref="B766:C766"/>
    <mergeCell ref="B767:C767"/>
    <mergeCell ref="A768:E768"/>
    <mergeCell ref="B769:C769"/>
    <mergeCell ref="A770:E770"/>
    <mergeCell ref="B771:C771"/>
    <mergeCell ref="B772:C772"/>
    <mergeCell ref="B764:C764"/>
    <mergeCell ref="B786:C786"/>
    <mergeCell ref="A787:E787"/>
    <mergeCell ref="B788:C788"/>
    <mergeCell ref="B789:C789"/>
    <mergeCell ref="A790:E790"/>
    <mergeCell ref="A773:E773"/>
    <mergeCell ref="B774:C774"/>
    <mergeCell ref="A775:E775"/>
    <mergeCell ref="B778:C778"/>
    <mergeCell ref="B776:C776"/>
    <mergeCell ref="A777:E777"/>
    <mergeCell ref="A779:E779"/>
    <mergeCell ref="B780:C780"/>
    <mergeCell ref="A781:E781"/>
    <mergeCell ref="B782:C782"/>
    <mergeCell ref="A783:E783"/>
    <mergeCell ref="B784:C784"/>
    <mergeCell ref="A785:E785"/>
    <mergeCell ref="B808:C808"/>
    <mergeCell ref="B809:C809"/>
    <mergeCell ref="B811:C811"/>
    <mergeCell ref="B812:C812"/>
    <mergeCell ref="B810:C810"/>
    <mergeCell ref="B791:C791"/>
    <mergeCell ref="A792:E792"/>
    <mergeCell ref="A793:E793"/>
    <mergeCell ref="B794:C794"/>
    <mergeCell ref="B797:C797"/>
    <mergeCell ref="B798:C798"/>
    <mergeCell ref="B806:C806"/>
    <mergeCell ref="A805:E805"/>
    <mergeCell ref="B807:C807"/>
    <mergeCell ref="B830:C830"/>
    <mergeCell ref="B831:C831"/>
    <mergeCell ref="B855:C855"/>
    <mergeCell ref="B818:C818"/>
    <mergeCell ref="B819:C819"/>
    <mergeCell ref="B822:C822"/>
    <mergeCell ref="B823:C823"/>
    <mergeCell ref="B824:C824"/>
    <mergeCell ref="B820:C820"/>
    <mergeCell ref="A821:E821"/>
    <mergeCell ref="B825:C825"/>
    <mergeCell ref="A826:E826"/>
    <mergeCell ref="B853:C853"/>
    <mergeCell ref="B851:C851"/>
    <mergeCell ref="B840:C840"/>
    <mergeCell ref="B842:C842"/>
    <mergeCell ref="A846:E846"/>
    <mergeCell ref="B847:C847"/>
    <mergeCell ref="B832:C832"/>
    <mergeCell ref="B833:C833"/>
    <mergeCell ref="A834:E834"/>
    <mergeCell ref="A835:E835"/>
    <mergeCell ref="B828:C828"/>
    <mergeCell ref="B829:C829"/>
    <mergeCell ref="B925:C925"/>
    <mergeCell ref="B916:C916"/>
    <mergeCell ref="B852:C852"/>
    <mergeCell ref="A854:E854"/>
    <mergeCell ref="B857:C857"/>
    <mergeCell ref="B858:C858"/>
    <mergeCell ref="B850:C850"/>
    <mergeCell ref="B827:C827"/>
    <mergeCell ref="B912:C912"/>
    <mergeCell ref="B908:C908"/>
    <mergeCell ref="A911:E911"/>
    <mergeCell ref="B877:C877"/>
    <mergeCell ref="B904:C904"/>
    <mergeCell ref="B856:C856"/>
    <mergeCell ref="B876:C876"/>
    <mergeCell ref="B859:C859"/>
    <mergeCell ref="B902:C902"/>
    <mergeCell ref="B895:C895"/>
    <mergeCell ref="A875:E875"/>
    <mergeCell ref="B879:C879"/>
    <mergeCell ref="B885:C885"/>
    <mergeCell ref="B872:C872"/>
    <mergeCell ref="B863:C863"/>
    <mergeCell ref="A848:E848"/>
    <mergeCell ref="B942:C942"/>
    <mergeCell ref="B678:C678"/>
    <mergeCell ref="B836:C836"/>
    <mergeCell ref="B837:C837"/>
    <mergeCell ref="A838:E838"/>
    <mergeCell ref="B839:C839"/>
    <mergeCell ref="B841:C841"/>
    <mergeCell ref="B843:C843"/>
    <mergeCell ref="A844:E844"/>
    <mergeCell ref="B845:C845"/>
    <mergeCell ref="B763:C763"/>
    <mergeCell ref="A795:E795"/>
    <mergeCell ref="B796:C796"/>
    <mergeCell ref="B799:C799"/>
    <mergeCell ref="B800:C800"/>
    <mergeCell ref="B801:C801"/>
    <mergeCell ref="B814:C814"/>
    <mergeCell ref="A815:E815"/>
    <mergeCell ref="B816:C816"/>
    <mergeCell ref="B817:C817"/>
    <mergeCell ref="A813:E813"/>
    <mergeCell ref="B802:C802"/>
    <mergeCell ref="B803:C803"/>
    <mergeCell ref="B804:C804"/>
    <mergeCell ref="B977:C977"/>
    <mergeCell ref="B978:C978"/>
    <mergeCell ref="B976:C976"/>
    <mergeCell ref="C981:E981"/>
    <mergeCell ref="A1:E1"/>
    <mergeCell ref="B974:C974"/>
    <mergeCell ref="B975:C975"/>
    <mergeCell ref="A930:C930"/>
    <mergeCell ref="B929:C929"/>
    <mergeCell ref="E929:E930"/>
    <mergeCell ref="B965:C965"/>
    <mergeCell ref="B966:C966"/>
    <mergeCell ref="B967:C967"/>
    <mergeCell ref="B968:C968"/>
    <mergeCell ref="B969:C969"/>
    <mergeCell ref="B970:C970"/>
    <mergeCell ref="B971:C971"/>
    <mergeCell ref="B972:C972"/>
    <mergeCell ref="B973:C973"/>
    <mergeCell ref="B956:C956"/>
    <mergeCell ref="B957:C957"/>
    <mergeCell ref="B958:C958"/>
    <mergeCell ref="B940:C940"/>
    <mergeCell ref="B941:C941"/>
  </mergeCells>
  <phoneticPr fontId="1" type="noConversion"/>
  <pageMargins left="0.23622047244094491" right="0.23622047244094491" top="0.19685039370078741" bottom="0.39370078740157483" header="0.31496062992125984" footer="0.19685039370078741"/>
  <pageSetup paperSize="9" orientation="portrait" r:id="rId1"/>
  <headerFooter>
    <oddFooter>&amp;CЛист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8.83203125" defaultRowHeight="15" x14ac:dyDescent="0.2"/>
  <sheetData/>
  <phoneticPr fontId="1" type="noConversion"/>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8.83203125" defaultRowHeight="15" x14ac:dyDescent="0.2"/>
  <sheetData/>
  <phoneticPr fontId="1" type="noConversion"/>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2015-05-22T12:49:17Z</cp:lastPrinted>
  <dcterms:created xsi:type="dcterms:W3CDTF">2006-09-28T05:33:49Z</dcterms:created>
  <dcterms:modified xsi:type="dcterms:W3CDTF">2020-11-13T09:39:33Z</dcterms:modified>
</cp:coreProperties>
</file>